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S:\Accounting\STARS Transparency\Debt Obligations FY2023\"/>
    </mc:Choice>
  </mc:AlternateContent>
  <xr:revisionPtr revIDLastSave="0" documentId="8_{937C7B1B-8727-4869-B605-EE68C8DFB2A0}" xr6:coauthVersionLast="47" xr6:coauthVersionMax="47" xr10:uidLastSave="{00000000-0000-0000-0000-000000000000}"/>
  <bookViews>
    <workbookView xWindow="28680" yWindow="-120" windowWidth="29040" windowHeight="15840" tabRatio="944" firstSheet="1" activeTab="1" xr2:uid="{00000000-000D-0000-FFFF-FFFF00000000}"/>
  </bookViews>
  <sheets>
    <sheet name="Obligations" sheetId="22" state="hidden" r:id="rId1"/>
    <sheet name="Bond10(gtua)" sheetId="11" r:id="rId2"/>
    <sheet name="Bond12" sheetId="8" r:id="rId3"/>
    <sheet name="Bond13A" sheetId="5" r:id="rId4"/>
    <sheet name="Bond13B" sheetId="9" r:id="rId5"/>
    <sheet name="Bond15" sheetId="10" r:id="rId6"/>
    <sheet name="Bond16A" sheetId="14" r:id="rId7"/>
    <sheet name="Bond16B" sheetId="15" r:id="rId8"/>
    <sheet name="Bond17A" sheetId="18" r:id="rId9"/>
    <sheet name="Bond17B" sheetId="19" r:id="rId10"/>
    <sheet name="Bond18" sheetId="20" r:id="rId11"/>
    <sheet name="Bond18A" sheetId="21" r:id="rId12"/>
    <sheet name="Bond19" sheetId="23" r:id="rId13"/>
    <sheet name="Bond19ref" sheetId="25" r:id="rId14"/>
    <sheet name="Bond20A" sheetId="27" r:id="rId15"/>
    <sheet name="Bond20ref" sheetId="26" r:id="rId16"/>
    <sheet name="Bond20B" sheetId="28" r:id="rId17"/>
    <sheet name="Bond21A" sheetId="29" r:id="rId18"/>
    <sheet name="Bond21B" sheetId="30" r:id="rId19"/>
    <sheet name="Bond22A" sheetId="31" r:id="rId20"/>
    <sheet name="Bond22B" sheetId="32" r:id="rId21"/>
    <sheet name="Budgeted" sheetId="16" r:id="rId22"/>
    <sheet name="Obligated" sheetId="17" r:id="rId23"/>
  </sheets>
  <definedNames>
    <definedName name="cemeterold" localSheetId="1">#REF!</definedName>
    <definedName name="cemeterold" localSheetId="2">#REF!</definedName>
    <definedName name="cemeterold" localSheetId="3">#REF!</definedName>
    <definedName name="cemeterold" localSheetId="4">#REF!</definedName>
    <definedName name="cemeterold" localSheetId="5">#REF!</definedName>
    <definedName name="cemeterold" localSheetId="6">#REF!</definedName>
    <definedName name="cemeterold" localSheetId="7">#REF!</definedName>
    <definedName name="cemeterold" localSheetId="8">#REF!</definedName>
    <definedName name="cemeterold" localSheetId="9">#REF!</definedName>
    <definedName name="cemeterold" localSheetId="10">#REF!</definedName>
    <definedName name="cemeterold" localSheetId="11">#REF!</definedName>
    <definedName name="cemeterold" localSheetId="12">#REF!</definedName>
    <definedName name="cemeterold" localSheetId="13">#REF!</definedName>
    <definedName name="cemeterold" localSheetId="14">#REF!</definedName>
    <definedName name="cemeterold" localSheetId="16">#REF!</definedName>
    <definedName name="cemeterold" localSheetId="15">#REF!</definedName>
    <definedName name="cemeterold" localSheetId="17">#REF!</definedName>
    <definedName name="cemeterold" localSheetId="18">#REF!</definedName>
    <definedName name="cemeterold" localSheetId="19">#REF!</definedName>
    <definedName name="cemeterold" localSheetId="20">#REF!</definedName>
    <definedName name="cemeterold" localSheetId="21">#REF!</definedName>
    <definedName name="cemeterold">#REF!</definedName>
    <definedName name="ExpenditureTotals" localSheetId="1">#REF!</definedName>
    <definedName name="ExpenditureTotals" localSheetId="2">#REF!</definedName>
    <definedName name="ExpenditureTotals" localSheetId="3">#REF!</definedName>
    <definedName name="ExpenditureTotals" localSheetId="4">#REF!</definedName>
    <definedName name="ExpenditureTotals" localSheetId="5">#REF!</definedName>
    <definedName name="ExpenditureTotals" localSheetId="6">#REF!</definedName>
    <definedName name="ExpenditureTotals" localSheetId="7">#REF!</definedName>
    <definedName name="ExpenditureTotals" localSheetId="8">#REF!</definedName>
    <definedName name="ExpenditureTotals" localSheetId="9">#REF!</definedName>
    <definedName name="ExpenditureTotals" localSheetId="10">#REF!</definedName>
    <definedName name="ExpenditureTotals" localSheetId="11">#REF!</definedName>
    <definedName name="ExpenditureTotals" localSheetId="12">#REF!</definedName>
    <definedName name="ExpenditureTotals" localSheetId="13">#REF!</definedName>
    <definedName name="ExpenditureTotals" localSheetId="14">#REF!</definedName>
    <definedName name="ExpenditureTotals" localSheetId="16">#REF!</definedName>
    <definedName name="ExpenditureTotals" localSheetId="15">#REF!</definedName>
    <definedName name="ExpenditureTotals" localSheetId="17">#REF!</definedName>
    <definedName name="ExpenditureTotals" localSheetId="18">#REF!</definedName>
    <definedName name="ExpenditureTotals" localSheetId="19">#REF!</definedName>
    <definedName name="ExpenditureTotals" localSheetId="20">#REF!</definedName>
    <definedName name="ExpenditureTotals" localSheetId="21">#REF!</definedName>
    <definedName name="ExpenditureTotals">#REF!</definedName>
    <definedName name="_xlnm.Print_Area" localSheetId="8">#REF!</definedName>
    <definedName name="_xlnm.Print_Area" localSheetId="9">#REF!</definedName>
    <definedName name="_xlnm.Print_Area" localSheetId="10">#REF!</definedName>
    <definedName name="_xlnm.Print_Area" localSheetId="11">#REF!</definedName>
    <definedName name="_xlnm.Print_Area" localSheetId="12">#REF!</definedName>
    <definedName name="_xlnm.Print_Area" localSheetId="13">#REF!</definedName>
    <definedName name="_xlnm.Print_Area" localSheetId="14">#REF!</definedName>
    <definedName name="_xlnm.Print_Area" localSheetId="16">#REF!</definedName>
    <definedName name="_xlnm.Print_Area" localSheetId="15">#REF!</definedName>
    <definedName name="_xlnm.Print_Area" localSheetId="17">#REF!</definedName>
    <definedName name="_xlnm.Print_Area" localSheetId="18">#REF!</definedName>
    <definedName name="_xlnm.Print_Area" localSheetId="19">#REF!</definedName>
    <definedName name="_xlnm.Print_Area" localSheetId="20">#REF!</definedName>
    <definedName name="_xlnm.Print_Area">#REF!</definedName>
    <definedName name="_xlnm.Print_Titles" localSheetId="4">Bond13B!$4:$4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16" l="1"/>
  <c r="E10" i="16"/>
  <c r="E9" i="16"/>
  <c r="C28" i="16"/>
  <c r="B28" i="16"/>
  <c r="H16" i="5"/>
  <c r="H15" i="5"/>
  <c r="H14" i="5"/>
  <c r="D17" i="5"/>
  <c r="D14" i="11"/>
  <c r="E33" i="29" l="1"/>
  <c r="F33" i="29"/>
  <c r="B33" i="29"/>
  <c r="C33" i="29"/>
  <c r="E32" i="28"/>
  <c r="F32" i="28"/>
  <c r="B32" i="28"/>
  <c r="C32" i="28"/>
  <c r="E29" i="18"/>
  <c r="F29" i="18"/>
  <c r="B29" i="18"/>
  <c r="C29" i="18"/>
  <c r="E17" i="5"/>
  <c r="F17" i="5"/>
  <c r="B17" i="5"/>
  <c r="C17" i="5"/>
  <c r="B9" i="17" l="1"/>
  <c r="B9" i="16"/>
  <c r="B11" i="16"/>
  <c r="B10" i="16"/>
  <c r="C27" i="16" l="1"/>
  <c r="C26" i="16"/>
  <c r="C25" i="16"/>
  <c r="C24" i="16"/>
  <c r="C23" i="16"/>
  <c r="C22" i="16"/>
  <c r="C21" i="16"/>
  <c r="C20" i="16"/>
  <c r="C19" i="16"/>
  <c r="B27" i="16"/>
  <c r="B26" i="16"/>
  <c r="B25" i="16"/>
  <c r="B24" i="16"/>
  <c r="B23" i="16"/>
  <c r="B22" i="16"/>
  <c r="B21" i="16"/>
  <c r="B20" i="16"/>
  <c r="B19" i="16"/>
  <c r="B18" i="16"/>
  <c r="B17" i="16"/>
  <c r="B16" i="16"/>
  <c r="B15" i="16"/>
  <c r="B14" i="16"/>
  <c r="B13" i="16"/>
  <c r="B12" i="16"/>
  <c r="C28" i="17"/>
  <c r="E54" i="17" s="1"/>
  <c r="B28" i="17"/>
  <c r="D54" i="17" s="1"/>
  <c r="B27" i="17"/>
  <c r="B26" i="17"/>
  <c r="B25" i="17"/>
  <c r="B24" i="17"/>
  <c r="B23" i="17"/>
  <c r="B22" i="17"/>
  <c r="B21" i="17"/>
  <c r="B20" i="17"/>
  <c r="B19" i="17"/>
  <c r="B18" i="17"/>
  <c r="B17" i="17"/>
  <c r="B16" i="17"/>
  <c r="B15" i="17"/>
  <c r="B14" i="17"/>
  <c r="B13" i="17"/>
  <c r="B12" i="17"/>
  <c r="B11" i="17"/>
  <c r="B10" i="17"/>
  <c r="C34" i="32"/>
  <c r="B34" i="32"/>
  <c r="D33" i="32"/>
  <c r="D32" i="32"/>
  <c r="D31" i="32"/>
  <c r="D30" i="32"/>
  <c r="D29" i="32"/>
  <c r="D28" i="32"/>
  <c r="D27" i="32"/>
  <c r="D26" i="32"/>
  <c r="D25" i="32"/>
  <c r="D24" i="32"/>
  <c r="D23" i="32"/>
  <c r="D22" i="32"/>
  <c r="D21" i="32"/>
  <c r="D20" i="32"/>
  <c r="D19" i="32"/>
  <c r="D18" i="32"/>
  <c r="D17" i="32"/>
  <c r="D16" i="32"/>
  <c r="D15" i="32"/>
  <c r="D14" i="32"/>
  <c r="G27" i="17"/>
  <c r="G28" i="17"/>
  <c r="F28" i="16"/>
  <c r="E28" i="16"/>
  <c r="F27" i="16"/>
  <c r="E27" i="16"/>
  <c r="E26" i="16"/>
  <c r="E25" i="16"/>
  <c r="E24" i="16"/>
  <c r="E23" i="16"/>
  <c r="E22" i="16"/>
  <c r="E21" i="16"/>
  <c r="E20" i="16"/>
  <c r="E19" i="16"/>
  <c r="E18" i="16"/>
  <c r="E17" i="16"/>
  <c r="E16" i="16"/>
  <c r="E15" i="16"/>
  <c r="E14" i="16"/>
  <c r="E13" i="16"/>
  <c r="E12" i="16"/>
  <c r="D54" i="16" l="1"/>
  <c r="D28" i="16"/>
  <c r="E54" i="16"/>
  <c r="D28" i="17"/>
  <c r="D34" i="32"/>
  <c r="B29" i="17"/>
  <c r="F54" i="17"/>
  <c r="E29" i="16"/>
  <c r="G28" i="16"/>
  <c r="F54" i="16" l="1"/>
  <c r="B34" i="31"/>
  <c r="D33" i="31"/>
  <c r="D32" i="31"/>
  <c r="D31" i="31"/>
  <c r="D30" i="31"/>
  <c r="D29" i="31"/>
  <c r="D28" i="31"/>
  <c r="D27" i="31"/>
  <c r="D26" i="31"/>
  <c r="D25" i="31"/>
  <c r="D24" i="31"/>
  <c r="D23" i="31"/>
  <c r="D22" i="31"/>
  <c r="D21" i="31"/>
  <c r="D20" i="31"/>
  <c r="D19" i="31"/>
  <c r="D18" i="31"/>
  <c r="D17" i="31"/>
  <c r="D16" i="31"/>
  <c r="D15" i="31"/>
  <c r="D14" i="31"/>
  <c r="B29" i="16" l="1"/>
  <c r="D34" i="31"/>
  <c r="C34" i="31"/>
  <c r="C20" i="27"/>
  <c r="C19" i="27"/>
  <c r="C18" i="27"/>
  <c r="C17" i="27"/>
  <c r="C16" i="27"/>
  <c r="C15" i="27"/>
  <c r="C14" i="27"/>
  <c r="C31" i="30"/>
  <c r="F26" i="16" s="1"/>
  <c r="C30" i="30"/>
  <c r="F25" i="16" s="1"/>
  <c r="C29" i="30"/>
  <c r="C28" i="30"/>
  <c r="C27" i="30"/>
  <c r="D27" i="30" s="1"/>
  <c r="C26" i="30"/>
  <c r="C25" i="30"/>
  <c r="C24" i="30"/>
  <c r="C23" i="30"/>
  <c r="C22" i="30"/>
  <c r="C21" i="30"/>
  <c r="C20" i="30"/>
  <c r="C19" i="30"/>
  <c r="D19" i="30" s="1"/>
  <c r="C18" i="30"/>
  <c r="D18" i="30" s="1"/>
  <c r="C17" i="30"/>
  <c r="C16" i="30"/>
  <c r="C15" i="30"/>
  <c r="C14" i="30"/>
  <c r="B33" i="30"/>
  <c r="D32" i="30"/>
  <c r="D20" i="30"/>
  <c r="D30" i="30" l="1"/>
  <c r="D15" i="30"/>
  <c r="D17" i="30"/>
  <c r="D29" i="30"/>
  <c r="D14" i="30"/>
  <c r="D22" i="30"/>
  <c r="D26" i="30"/>
  <c r="D23" i="30"/>
  <c r="D31" i="30"/>
  <c r="D21" i="30"/>
  <c r="D25" i="30"/>
  <c r="D16" i="30"/>
  <c r="D24" i="30"/>
  <c r="D28" i="30"/>
  <c r="C33" i="30"/>
  <c r="G17" i="17"/>
  <c r="G18" i="17"/>
  <c r="G19" i="17"/>
  <c r="G20" i="17"/>
  <c r="G21" i="17"/>
  <c r="G22" i="17"/>
  <c r="G23" i="17"/>
  <c r="G24" i="17"/>
  <c r="G25" i="17"/>
  <c r="G26" i="17"/>
  <c r="D33" i="30" l="1"/>
  <c r="D53" i="16"/>
  <c r="C14" i="26"/>
  <c r="C19" i="26"/>
  <c r="C18" i="26"/>
  <c r="C17" i="26"/>
  <c r="C16" i="26"/>
  <c r="C15" i="26"/>
  <c r="D53" i="17" l="1"/>
  <c r="D33" i="29"/>
  <c r="G32" i="29"/>
  <c r="C27" i="17" s="1"/>
  <c r="G31" i="29"/>
  <c r="C26" i="17" s="1"/>
  <c r="G30" i="29"/>
  <c r="C25" i="17" s="1"/>
  <c r="G29" i="29"/>
  <c r="G28" i="29"/>
  <c r="G27" i="29"/>
  <c r="G26" i="29"/>
  <c r="G25" i="29"/>
  <c r="H25" i="29" s="1"/>
  <c r="G24" i="29"/>
  <c r="H24" i="29" s="1"/>
  <c r="G23" i="29"/>
  <c r="H23" i="29" s="1"/>
  <c r="G22" i="29"/>
  <c r="G21" i="29"/>
  <c r="G20" i="29"/>
  <c r="H20" i="29" s="1"/>
  <c r="G19" i="29"/>
  <c r="H19" i="29" s="1"/>
  <c r="G18" i="29"/>
  <c r="H18" i="29" s="1"/>
  <c r="G17" i="29"/>
  <c r="H17" i="29" s="1"/>
  <c r="G16" i="29"/>
  <c r="H16" i="29" s="1"/>
  <c r="G15" i="29"/>
  <c r="G14" i="29"/>
  <c r="H29" i="29"/>
  <c r="D52" i="16"/>
  <c r="H30" i="29" l="1"/>
  <c r="H26" i="29"/>
  <c r="H14" i="29"/>
  <c r="H15" i="29"/>
  <c r="H27" i="29"/>
  <c r="H31" i="29"/>
  <c r="D26" i="16"/>
  <c r="G26" i="16"/>
  <c r="H28" i="29"/>
  <c r="H32" i="29"/>
  <c r="G27" i="16"/>
  <c r="H22" i="29"/>
  <c r="H21" i="29"/>
  <c r="D52" i="17"/>
  <c r="G33" i="29"/>
  <c r="H15" i="28"/>
  <c r="H16" i="28"/>
  <c r="H17" i="28"/>
  <c r="H18" i="28"/>
  <c r="H19" i="28"/>
  <c r="H20" i="28"/>
  <c r="H21" i="28"/>
  <c r="H22" i="28"/>
  <c r="H23" i="28"/>
  <c r="H24" i="28"/>
  <c r="H25" i="28"/>
  <c r="H26" i="28"/>
  <c r="H27" i="28"/>
  <c r="H28" i="28"/>
  <c r="H29" i="28"/>
  <c r="H30" i="28"/>
  <c r="H31" i="28"/>
  <c r="G32" i="28"/>
  <c r="D32" i="28"/>
  <c r="H14" i="28"/>
  <c r="E52" i="16" l="1"/>
  <c r="F52" i="16" s="1"/>
  <c r="H33" i="29"/>
  <c r="D27" i="16"/>
  <c r="E53" i="16"/>
  <c r="F53" i="16" s="1"/>
  <c r="D26" i="17"/>
  <c r="E52" i="17"/>
  <c r="F52" i="17" s="1"/>
  <c r="E53" i="17"/>
  <c r="F53" i="17" s="1"/>
  <c r="D27" i="17"/>
  <c r="H32" i="28"/>
  <c r="F16" i="17"/>
  <c r="F15" i="17"/>
  <c r="F14" i="17"/>
  <c r="F13" i="17"/>
  <c r="F12" i="17"/>
  <c r="F11" i="17"/>
  <c r="F10" i="17"/>
  <c r="F9" i="17"/>
  <c r="E16" i="17"/>
  <c r="E15" i="17"/>
  <c r="E14" i="17"/>
  <c r="E11" i="17"/>
  <c r="E13" i="17"/>
  <c r="E12" i="17"/>
  <c r="E10" i="17"/>
  <c r="E9" i="17"/>
  <c r="F29" i="17" l="1"/>
  <c r="E29" i="17"/>
  <c r="D18" i="27"/>
  <c r="D21" i="27"/>
  <c r="D20" i="27"/>
  <c r="D19" i="27"/>
  <c r="D17" i="27"/>
  <c r="D16" i="27"/>
  <c r="D15" i="27"/>
  <c r="B22" i="27"/>
  <c r="D15" i="26" l="1"/>
  <c r="D18" i="26"/>
  <c r="D19" i="26"/>
  <c r="D20" i="26"/>
  <c r="D17" i="26"/>
  <c r="C22" i="27" l="1"/>
  <c r="D14" i="26"/>
  <c r="D16" i="26"/>
  <c r="D14" i="27" l="1"/>
  <c r="D22" i="27" l="1"/>
  <c r="C21" i="26"/>
  <c r="B21" i="26"/>
  <c r="D21" i="26" l="1"/>
  <c r="E51" i="16"/>
  <c r="D25" i="16"/>
  <c r="E51" i="17"/>
  <c r="D25" i="17"/>
  <c r="C19" i="25"/>
  <c r="C18" i="25"/>
  <c r="C17" i="25"/>
  <c r="C16" i="25"/>
  <c r="C15" i="25"/>
  <c r="C14" i="25"/>
  <c r="G25" i="16" l="1"/>
  <c r="D51" i="17"/>
  <c r="F51" i="17" s="1"/>
  <c r="D51" i="16"/>
  <c r="F51" i="16" s="1"/>
  <c r="C27" i="23"/>
  <c r="C29" i="23"/>
  <c r="C28" i="23"/>
  <c r="C26" i="23"/>
  <c r="C25" i="23"/>
  <c r="C24" i="23"/>
  <c r="C23" i="23"/>
  <c r="D23" i="23" s="1"/>
  <c r="C22" i="23"/>
  <c r="D22" i="23" s="1"/>
  <c r="C21" i="23"/>
  <c r="C20" i="23"/>
  <c r="C19" i="23"/>
  <c r="C18" i="23"/>
  <c r="D18" i="23" s="1"/>
  <c r="C17" i="23"/>
  <c r="D17" i="23" s="1"/>
  <c r="C16" i="23"/>
  <c r="C15" i="23"/>
  <c r="D15" i="23" s="1"/>
  <c r="C14" i="23"/>
  <c r="B31" i="23"/>
  <c r="D30" i="23"/>
  <c r="B20" i="25"/>
  <c r="D19" i="25"/>
  <c r="D18" i="25"/>
  <c r="D17" i="25"/>
  <c r="D16" i="25"/>
  <c r="D15" i="25"/>
  <c r="D14" i="25"/>
  <c r="D19" i="23"/>
  <c r="C24" i="17" l="1"/>
  <c r="F24" i="16"/>
  <c r="D25" i="23"/>
  <c r="D14" i="23"/>
  <c r="D26" i="23"/>
  <c r="D16" i="23"/>
  <c r="D20" i="23"/>
  <c r="D24" i="23"/>
  <c r="D29" i="23"/>
  <c r="D21" i="23"/>
  <c r="D27" i="23"/>
  <c r="D28" i="23"/>
  <c r="C20" i="25"/>
  <c r="C31" i="23"/>
  <c r="D20" i="25"/>
  <c r="D31" i="23" l="1"/>
  <c r="E50" i="17"/>
  <c r="D50" i="17"/>
  <c r="D24" i="17" l="1"/>
  <c r="F50" i="17"/>
  <c r="G24" i="16"/>
  <c r="E50" i="16"/>
  <c r="D50" i="16"/>
  <c r="D24" i="16"/>
  <c r="C18" i="21"/>
  <c r="D18" i="21" s="1"/>
  <c r="C17" i="21"/>
  <c r="D17" i="21" s="1"/>
  <c r="C16" i="21"/>
  <c r="D16" i="21" s="1"/>
  <c r="C15" i="21"/>
  <c r="D15" i="21" s="1"/>
  <c r="C14" i="21"/>
  <c r="D14" i="21" s="1"/>
  <c r="B20" i="21"/>
  <c r="D19" i="21"/>
  <c r="B30" i="20"/>
  <c r="D29" i="20"/>
  <c r="C28" i="20"/>
  <c r="C27" i="20"/>
  <c r="C26" i="20"/>
  <c r="D26" i="20" s="1"/>
  <c r="C25" i="20"/>
  <c r="D25" i="20" s="1"/>
  <c r="C24" i="20"/>
  <c r="D24" i="20" s="1"/>
  <c r="C23" i="20"/>
  <c r="D23" i="20" s="1"/>
  <c r="C22" i="20"/>
  <c r="D22" i="20" s="1"/>
  <c r="C21" i="20"/>
  <c r="D21" i="20" s="1"/>
  <c r="C20" i="20"/>
  <c r="D20" i="20" s="1"/>
  <c r="C19" i="20"/>
  <c r="D19" i="20" s="1"/>
  <c r="C18" i="20"/>
  <c r="D18" i="20" s="1"/>
  <c r="C17" i="20"/>
  <c r="D17" i="20" s="1"/>
  <c r="C16" i="20"/>
  <c r="D16" i="20" s="1"/>
  <c r="C15" i="20"/>
  <c r="D15" i="20" s="1"/>
  <c r="C14" i="20"/>
  <c r="D14" i="20" s="1"/>
  <c r="D27" i="20" l="1"/>
  <c r="F22" i="16"/>
  <c r="C23" i="17"/>
  <c r="F23" i="16"/>
  <c r="D28" i="20"/>
  <c r="C30" i="20"/>
  <c r="F50" i="16"/>
  <c r="C20" i="21"/>
  <c r="D20" i="21"/>
  <c r="D30" i="20" l="1"/>
  <c r="E49" i="16"/>
  <c r="G23" i="16" l="1"/>
  <c r="D23" i="16" l="1"/>
  <c r="D49" i="16"/>
  <c r="E49" i="17"/>
  <c r="D49" i="17"/>
  <c r="C17" i="19"/>
  <c r="D17" i="19" s="1"/>
  <c r="C16" i="19"/>
  <c r="D16" i="19" s="1"/>
  <c r="C15" i="19"/>
  <c r="D15" i="19" s="1"/>
  <c r="C14" i="19"/>
  <c r="D14" i="19" s="1"/>
  <c r="B19" i="19"/>
  <c r="D18" i="19"/>
  <c r="G27" i="18"/>
  <c r="C22" i="17" s="1"/>
  <c r="G26" i="18"/>
  <c r="G25" i="18"/>
  <c r="H28" i="18"/>
  <c r="G24" i="18"/>
  <c r="G23" i="18"/>
  <c r="G22" i="18"/>
  <c r="G21" i="18"/>
  <c r="G20" i="18"/>
  <c r="G19" i="18"/>
  <c r="G18" i="18"/>
  <c r="G17" i="18"/>
  <c r="G16" i="18"/>
  <c r="G15" i="18"/>
  <c r="G14" i="18"/>
  <c r="D29" i="18"/>
  <c r="F49" i="16" l="1"/>
  <c r="H20" i="18"/>
  <c r="H16" i="18"/>
  <c r="H21" i="18"/>
  <c r="H17" i="18"/>
  <c r="H14" i="18"/>
  <c r="H18" i="18"/>
  <c r="H22" i="18"/>
  <c r="H15" i="18"/>
  <c r="H19" i="18"/>
  <c r="H23" i="18"/>
  <c r="H27" i="18"/>
  <c r="H25" i="18"/>
  <c r="H24" i="18"/>
  <c r="F49" i="17"/>
  <c r="H26" i="18"/>
  <c r="D23" i="17"/>
  <c r="D19" i="19"/>
  <c r="C19" i="19"/>
  <c r="G29" i="18"/>
  <c r="H29" i="18" l="1"/>
  <c r="D22" i="17" l="1"/>
  <c r="C18" i="9"/>
  <c r="C19" i="8"/>
  <c r="B20" i="8"/>
  <c r="G22" i="16"/>
  <c r="C16" i="15"/>
  <c r="C15" i="15"/>
  <c r="C14" i="15"/>
  <c r="C26" i="14"/>
  <c r="C25" i="14"/>
  <c r="C24" i="14"/>
  <c r="C23" i="14"/>
  <c r="C22" i="14"/>
  <c r="C21" i="14"/>
  <c r="C20" i="14"/>
  <c r="C19" i="14"/>
  <c r="C18" i="14"/>
  <c r="C17" i="14"/>
  <c r="C16" i="14"/>
  <c r="C15" i="14"/>
  <c r="C14" i="14"/>
  <c r="C25" i="10"/>
  <c r="C24" i="10"/>
  <c r="C23" i="10"/>
  <c r="C22" i="10"/>
  <c r="C21" i="10"/>
  <c r="C20" i="10"/>
  <c r="C19" i="10"/>
  <c r="C18" i="10"/>
  <c r="C17" i="10"/>
  <c r="C16" i="10"/>
  <c r="F11" i="16" s="1"/>
  <c r="C15" i="10"/>
  <c r="F10" i="16" s="1"/>
  <c r="C14" i="10"/>
  <c r="C23" i="9"/>
  <c r="C22" i="9"/>
  <c r="C21" i="9"/>
  <c r="C20" i="9"/>
  <c r="C19" i="9"/>
  <c r="C14" i="16" s="1"/>
  <c r="C17" i="9"/>
  <c r="C16" i="9"/>
  <c r="C11" i="16" s="1"/>
  <c r="C15" i="9"/>
  <c r="C14" i="9"/>
  <c r="F12" i="16" l="1"/>
  <c r="F13" i="16"/>
  <c r="C10" i="16"/>
  <c r="F9" i="16"/>
  <c r="C9" i="16"/>
  <c r="F15" i="16"/>
  <c r="F16" i="16"/>
  <c r="F17" i="16"/>
  <c r="F21" i="16"/>
  <c r="G21" i="16" s="1"/>
  <c r="C21" i="17"/>
  <c r="D21" i="17" s="1"/>
  <c r="F18" i="16"/>
  <c r="C20" i="17"/>
  <c r="D20" i="17" s="1"/>
  <c r="F20" i="16"/>
  <c r="G20" i="16" s="1"/>
  <c r="C19" i="17"/>
  <c r="F19" i="16"/>
  <c r="C15" i="17"/>
  <c r="C15" i="16"/>
  <c r="C16" i="17"/>
  <c r="C16" i="16"/>
  <c r="C9" i="17"/>
  <c r="C11" i="17"/>
  <c r="C17" i="17"/>
  <c r="C17" i="16"/>
  <c r="C18" i="16"/>
  <c r="C18" i="17"/>
  <c r="C10" i="17"/>
  <c r="C12" i="16"/>
  <c r="C12" i="17"/>
  <c r="C13" i="16"/>
  <c r="C13" i="17"/>
  <c r="F14" i="16"/>
  <c r="E40" i="16" s="1"/>
  <c r="C14" i="17"/>
  <c r="D19" i="8"/>
  <c r="C20" i="8"/>
  <c r="F29" i="16" l="1"/>
  <c r="C29" i="16"/>
  <c r="C29" i="17"/>
  <c r="E48" i="17"/>
  <c r="D48" i="17"/>
  <c r="D41" i="17"/>
  <c r="D37" i="17"/>
  <c r="E47" i="17"/>
  <c r="D47" i="17"/>
  <c r="D46" i="17"/>
  <c r="E45" i="17"/>
  <c r="D19" i="17"/>
  <c r="E44" i="17"/>
  <c r="D43" i="17"/>
  <c r="D17" i="17"/>
  <c r="G16" i="17"/>
  <c r="D42" i="17"/>
  <c r="D16" i="17"/>
  <c r="G15" i="17"/>
  <c r="D15" i="17"/>
  <c r="E41" i="17"/>
  <c r="G14" i="17"/>
  <c r="E40" i="17"/>
  <c r="G13" i="17"/>
  <c r="D39" i="17"/>
  <c r="D13" i="17"/>
  <c r="G12" i="17"/>
  <c r="D38" i="17"/>
  <c r="D12" i="17"/>
  <c r="G11" i="17"/>
  <c r="D11" i="17"/>
  <c r="E37" i="17"/>
  <c r="G10" i="17"/>
  <c r="E36" i="17"/>
  <c r="D10" i="17"/>
  <c r="G9" i="17"/>
  <c r="D9" i="17"/>
  <c r="E35" i="17"/>
  <c r="D35" i="17"/>
  <c r="E48" i="16"/>
  <c r="D48" i="16"/>
  <c r="D44" i="16"/>
  <c r="D40" i="16"/>
  <c r="D36" i="16"/>
  <c r="D22" i="16"/>
  <c r="E47" i="16"/>
  <c r="D47" i="16"/>
  <c r="E46" i="16"/>
  <c r="D46" i="16"/>
  <c r="G19" i="16"/>
  <c r="E45" i="16"/>
  <c r="D45" i="16"/>
  <c r="G18" i="16"/>
  <c r="E44" i="16"/>
  <c r="G17" i="16"/>
  <c r="E43" i="16"/>
  <c r="D43" i="16"/>
  <c r="G16" i="16"/>
  <c r="E42" i="16"/>
  <c r="D42" i="16"/>
  <c r="G15" i="16"/>
  <c r="E41" i="16"/>
  <c r="G14" i="16"/>
  <c r="G13" i="16"/>
  <c r="E39" i="16"/>
  <c r="D39" i="16"/>
  <c r="G12" i="16"/>
  <c r="E38" i="16"/>
  <c r="D38" i="16"/>
  <c r="G11" i="16"/>
  <c r="E37" i="16"/>
  <c r="G10" i="16"/>
  <c r="E36" i="16"/>
  <c r="G9" i="16"/>
  <c r="E35" i="16"/>
  <c r="D35" i="16"/>
  <c r="B18" i="15"/>
  <c r="D17" i="15"/>
  <c r="D16" i="15"/>
  <c r="D15" i="15"/>
  <c r="D14" i="15"/>
  <c r="D14" i="10"/>
  <c r="D15" i="10"/>
  <c r="D16" i="10"/>
  <c r="D17" i="10"/>
  <c r="D18" i="10"/>
  <c r="D19" i="10"/>
  <c r="D20" i="10"/>
  <c r="D21" i="10"/>
  <c r="D22" i="10"/>
  <c r="D23" i="10"/>
  <c r="D24" i="10"/>
  <c r="D25" i="10"/>
  <c r="D26" i="10"/>
  <c r="C18" i="15"/>
  <c r="D27" i="14"/>
  <c r="C28" i="14"/>
  <c r="B28" i="14"/>
  <c r="D26" i="14"/>
  <c r="D25" i="14"/>
  <c r="D24" i="14"/>
  <c r="D23" i="14"/>
  <c r="D22" i="14"/>
  <c r="D21" i="14"/>
  <c r="D20" i="14"/>
  <c r="D19" i="14"/>
  <c r="D18" i="14"/>
  <c r="D17" i="14"/>
  <c r="D16" i="14"/>
  <c r="D15" i="14"/>
  <c r="D14" i="14"/>
  <c r="G29" i="17" l="1"/>
  <c r="G29" i="16"/>
  <c r="E55" i="16"/>
  <c r="F47" i="17"/>
  <c r="F41" i="17"/>
  <c r="F48" i="17"/>
  <c r="F48" i="16"/>
  <c r="D17" i="16"/>
  <c r="F43" i="16"/>
  <c r="D11" i="16"/>
  <c r="F38" i="16"/>
  <c r="F35" i="16"/>
  <c r="D9" i="16"/>
  <c r="D10" i="16"/>
  <c r="F47" i="16"/>
  <c r="F36" i="16"/>
  <c r="F46" i="16"/>
  <c r="F44" i="16"/>
  <c r="D13" i="16"/>
  <c r="D15" i="16"/>
  <c r="F42" i="16"/>
  <c r="D18" i="16"/>
  <c r="D19" i="16"/>
  <c r="D20" i="16"/>
  <c r="F45" i="16"/>
  <c r="F39" i="16"/>
  <c r="F35" i="17"/>
  <c r="F37" i="17"/>
  <c r="F40" i="16"/>
  <c r="D12" i="16"/>
  <c r="D16" i="16"/>
  <c r="D21" i="16"/>
  <c r="D37" i="16"/>
  <c r="F37" i="16" s="1"/>
  <c r="D41" i="16"/>
  <c r="F41" i="16" s="1"/>
  <c r="D14" i="17"/>
  <c r="D18" i="17"/>
  <c r="E39" i="17"/>
  <c r="F39" i="17" s="1"/>
  <c r="E43" i="17"/>
  <c r="F43" i="17" s="1"/>
  <c r="E38" i="17"/>
  <c r="F38" i="17" s="1"/>
  <c r="E42" i="17"/>
  <c r="F42" i="17" s="1"/>
  <c r="D45" i="17"/>
  <c r="F45" i="17" s="1"/>
  <c r="E46" i="17"/>
  <c r="F46" i="17" s="1"/>
  <c r="D14" i="16"/>
  <c r="D36" i="17"/>
  <c r="F36" i="17" s="1"/>
  <c r="D40" i="17"/>
  <c r="F40" i="17" s="1"/>
  <c r="D44" i="17"/>
  <c r="F44" i="17" s="1"/>
  <c r="D18" i="15"/>
  <c r="D28" i="14"/>
  <c r="D55" i="16" l="1"/>
  <c r="F55" i="16"/>
  <c r="D29" i="17"/>
  <c r="E55" i="17"/>
  <c r="D55" i="17"/>
  <c r="D29" i="16"/>
  <c r="F55" i="17"/>
  <c r="B27" i="10"/>
  <c r="C22" i="11" l="1"/>
  <c r="B22" i="11"/>
  <c r="D21" i="11"/>
  <c r="D20" i="11"/>
  <c r="D19" i="11"/>
  <c r="D18" i="11"/>
  <c r="D17" i="11"/>
  <c r="D16" i="11"/>
  <c r="D15" i="11"/>
  <c r="C27" i="10"/>
  <c r="C25" i="9"/>
  <c r="B25" i="9"/>
  <c r="D24" i="9"/>
  <c r="D23" i="9"/>
  <c r="D22" i="9"/>
  <c r="D21" i="9"/>
  <c r="D20" i="9"/>
  <c r="D19" i="9"/>
  <c r="D18" i="9"/>
  <c r="D17" i="9"/>
  <c r="D16" i="9"/>
  <c r="D15" i="9"/>
  <c r="D14" i="9"/>
  <c r="D18" i="8"/>
  <c r="D17" i="8"/>
  <c r="D16" i="8"/>
  <c r="D15" i="8"/>
  <c r="D14" i="8"/>
  <c r="G17" i="5"/>
  <c r="D20" i="8" l="1"/>
  <c r="D22" i="11"/>
  <c r="H17" i="5"/>
  <c r="D27" i="10"/>
  <c r="D25" i="9"/>
</calcChain>
</file>

<file path=xl/sharedStrings.xml><?xml version="1.0" encoding="utf-8"?>
<sst xmlns="http://schemas.openxmlformats.org/spreadsheetml/2006/main" count="573" uniqueCount="153">
  <si>
    <t>City of Denison</t>
  </si>
  <si>
    <t>Bond Maturity Schedule</t>
  </si>
  <si>
    <t>Principal</t>
  </si>
  <si>
    <t>Interest</t>
  </si>
  <si>
    <t>Total</t>
  </si>
  <si>
    <t>Issue Amount:  $4,530,000</t>
  </si>
  <si>
    <t>09/30/2023</t>
  </si>
  <si>
    <t>09/30/2024</t>
  </si>
  <si>
    <t>09/30/2025</t>
  </si>
  <si>
    <t>09/30/2026</t>
  </si>
  <si>
    <t>09/30/2027</t>
  </si>
  <si>
    <t>09/30/2028</t>
  </si>
  <si>
    <t>02/15/2023</t>
  </si>
  <si>
    <t>02/15/2024</t>
  </si>
  <si>
    <t>02/15/2025</t>
  </si>
  <si>
    <t>02/15/2026</t>
  </si>
  <si>
    <t>09/30/2029</t>
  </si>
  <si>
    <t>Combination Tax &amp; Revenue Certificates of Obligation - Series 2012</t>
  </si>
  <si>
    <t>Issue Amount:  $6,665,000</t>
  </si>
  <si>
    <t>Purpose:  Repairs and renovations, including lighting retrofits and networked thermostats, for existing municipal buildings; and improvements to the City's waterworks and sewer system including the Paw Paw wastewater treatment plant and the Duck Creek lift station.</t>
  </si>
  <si>
    <t>Issue Amount:  $2,240,000</t>
  </si>
  <si>
    <t>Purpose:  For constructing and equipping a fire station, with any surplus funds to be used for major repairs and renovations to existing municipal buildings.</t>
  </si>
  <si>
    <t>09/30/2030</t>
  </si>
  <si>
    <t>09/30/2031</t>
  </si>
  <si>
    <t>09/30/2032</t>
  </si>
  <si>
    <t>09/30/2033</t>
  </si>
  <si>
    <t>Issue Amount:  $6,335,000</t>
  </si>
  <si>
    <t>Purpose:  To fund water &amp; sewer projects including, but not limited to Randell Dam improvements and the purchase and installation of an Automated Meter Reading system.</t>
  </si>
  <si>
    <t>09/30/2034</t>
  </si>
  <si>
    <t>09/30/2035</t>
  </si>
  <si>
    <t>Issue Amount:  $4,584,830.80</t>
  </si>
  <si>
    <t>Purpose:  To purchase additional water storage rights in Lake Texoma, for water supply, in contract with the Greater Texoma Utility Authority.</t>
  </si>
  <si>
    <t>Obligated Debt Service Schedule</t>
  </si>
  <si>
    <t>General Obligation Bonds</t>
  </si>
  <si>
    <t>W/S Obligation Bonds</t>
  </si>
  <si>
    <t>Fiscal Year</t>
  </si>
  <si>
    <t>Total P &amp; I</t>
  </si>
  <si>
    <t xml:space="preserve"> </t>
  </si>
  <si>
    <t>Combined</t>
  </si>
  <si>
    <t>Budgeted Debt Service Schedule</t>
  </si>
  <si>
    <t>General Debt Fund</t>
  </si>
  <si>
    <t>W/S Debt Fund</t>
  </si>
  <si>
    <t>Combination Tax &amp; Surplus Revenue Certificates of Obligation - Series 2016A</t>
  </si>
  <si>
    <t>Issue Amount:  $1,725,000</t>
  </si>
  <si>
    <t>Purpose: To fund waterworks and sewer system improvements including, but not limited to the Parkdale Ground Tank and Grayson College Elevated Tank, and improvements to Lake Randell Dam and spillway.</t>
  </si>
  <si>
    <t>09/30/2036</t>
  </si>
  <si>
    <t>Issue Amount:  $7,475,000</t>
  </si>
  <si>
    <t>Period Ending</t>
  </si>
  <si>
    <t xml:space="preserve">Principal   </t>
  </si>
  <si>
    <t xml:space="preserve">Interest   </t>
  </si>
  <si>
    <t xml:space="preserve">Total P+I   </t>
  </si>
  <si>
    <t>Issue Amount:  $6,870,000</t>
  </si>
  <si>
    <t>Purpose: To fund waterworks and sewer system projects including, but not limited to, the TCEQ SSO projects, elevated &amp; ground water tanks rehab, Iron Ore Creek Trunk Sewer, and Paw Paw UV Equipment and Clarifier.  A portion of the funds would also be used to remodel 300 W Main as a new City Hall location.</t>
  </si>
  <si>
    <t>09/30/2037</t>
  </si>
  <si>
    <t>Issue Amount:  $2,855,000</t>
  </si>
  <si>
    <t>Issue Amount:  $7,255,000</t>
  </si>
  <si>
    <t>09/30/2038</t>
  </si>
  <si>
    <t>Issue Amount:  $1,000,000</t>
  </si>
  <si>
    <t>Obligated</t>
  </si>
  <si>
    <t>GF</t>
  </si>
  <si>
    <t>WS</t>
  </si>
  <si>
    <t>Budgeted</t>
  </si>
  <si>
    <t>2013A General Obligation Refunding Bonds</t>
  </si>
  <si>
    <t>2012 Combination Tax &amp; Revenue Certificates of Obligation</t>
  </si>
  <si>
    <t>2013B Combination Tax &amp; Limited Surplus Revenue Certificates of Obligation</t>
  </si>
  <si>
    <t>2015 Combination Tax &amp; Limited Surplus Revenue Certificates of Obligation</t>
  </si>
  <si>
    <t>2016A Combination Tax &amp; Surplus Revenue Certificates of Obligation</t>
  </si>
  <si>
    <t>2016B Combination Tax &amp; Revenue Certificates of Obligation</t>
  </si>
  <si>
    <t>2010 Contract Revenue Bonds</t>
  </si>
  <si>
    <t>2017A Combination Tax &amp; Revenue Certificates of Obligation</t>
  </si>
  <si>
    <t>2017B Combination Tax &amp; Revenue Certificates of Obligation</t>
  </si>
  <si>
    <t>2018 Combination Tax &amp; Revenue Certificates of Obligation - Series 2018</t>
  </si>
  <si>
    <t>2018A Combination Tax &amp; Revenue Certificates of Obligation - Series 2018A</t>
  </si>
  <si>
    <t>General Obligation Refunding Bonds - Series 2013</t>
  </si>
  <si>
    <t>Combination Tax &amp; Limited Surplus Revenue Certificates of Obligation - Series 2013</t>
  </si>
  <si>
    <t>Combination Tax &amp; Surplus Revenue Certificates of Obligation - Series 2019</t>
  </si>
  <si>
    <t>Issue Amount:  $5,255,000</t>
  </si>
  <si>
    <t>General Obligation Refunding Bonds - Series 2019</t>
  </si>
  <si>
    <t>Issue Amount:  $3,060,000</t>
  </si>
  <si>
    <t>09/30/2039</t>
  </si>
  <si>
    <t>Purpose: To fund waterworks and sewer system projects including, but not limited to, the NTRA elevated water tank, Theresa and West Loy Lake lines, Parkdale elevated tank, and distribution &amp; collection projects.</t>
  </si>
  <si>
    <t>Purpose: To fund the design phase of the downtown improvements project.</t>
  </si>
  <si>
    <t>General Obligation Refunding Bonds - Series 2020</t>
  </si>
  <si>
    <t xml:space="preserve">Purpose: To refund the Combination Tax and Revenue Certificates of Obligation - Series 2010, that were obligated to the City's waterworks and sewer system improvements. </t>
  </si>
  <si>
    <t>Issue Amount:  $2,450,000</t>
  </si>
  <si>
    <t xml:space="preserve">Purpose: For the purchase of a new ladder truck and renovation of the West End fire station.  </t>
  </si>
  <si>
    <t>09/30/2040</t>
  </si>
  <si>
    <t xml:space="preserve">Purpose: To fund waterworks &amp; sewer system improvements, and to construct and improve streets (Flora/Waterloo/Lang/Loy Lake) including sidewalks, landscaping, streetscaping, lighting, drainage, and utility line relocations. </t>
  </si>
  <si>
    <t>Purpose:  To provide funds for park and recreational improvements.</t>
  </si>
  <si>
    <t xml:space="preserve">    (Texoma Health Foundation Sports Complex)</t>
  </si>
  <si>
    <t>Purpose: To help fund the construction of the Texoma Health Foundation Park project.</t>
  </si>
  <si>
    <t>Purpose: To fund water &amp; sewer infrastructure improvements including the NTRA Elevated Tank, Water Lines, Paw Paw UV Clarifier, Iron Ore Creek Trunk Sewer, TCEQ SSO projects and Wastewater Master Plan.</t>
  </si>
  <si>
    <t>Purpose:  Refunding of Series 2001 Revenue Bonds issued for Water and Sewer System improvements, Series 2005 General Obligation Bonds issued for Street improvements, and Series 2005 Water/Sewer Revenue Refunding Bonds.</t>
  </si>
  <si>
    <t>Combination Tax &amp; Limited Surplus Revenue Certificates of Obligation - Series 2020A</t>
  </si>
  <si>
    <t>Combination Tax and Surplus Revenue Certificates of Obligation - Series 2015</t>
  </si>
  <si>
    <t>Combination Tax and Limited Surplus Revenue Certificate of Obligation - Series 2016B</t>
  </si>
  <si>
    <t>Combination Tax and Limited Surplus Revenue Certificate of Obligation - Series 2017B</t>
  </si>
  <si>
    <t>Combination Tax and Limited Surplus Revenue Certificate of Obligation - Series 2018A</t>
  </si>
  <si>
    <t>Combination Tax and Limited Surplus Revenue Certificates of Obligation - Series 2020B</t>
  </si>
  <si>
    <t>09/30/2041</t>
  </si>
  <si>
    <t>Combination Tax and Limited Surplus Revenue Certificates of Obligation - Series 2021A</t>
  </si>
  <si>
    <t>Issue Amount:  $15,940,000</t>
  </si>
  <si>
    <t>Issue Amount:  $10,235,000</t>
  </si>
  <si>
    <t>Combination Tax and Limited Surplus Revenue Certificates of Obligation - Series 2021B</t>
  </si>
  <si>
    <t>Issue Amount:  $10,365,000</t>
  </si>
  <si>
    <t>Issue Amount:  $4,040,000</t>
  </si>
  <si>
    <t>Purpose:  Proceeds from the sale of the Bonds will be used to refund a portion of the City's outstanding debt in order to lower the overall debt service requirements of the City.  The refunded bonds (Series 2008) were initially obtained for the purpose of acquiring, constructing, installing and equipping improvements and additions to the City's waterworks and sewer system; and the acquisition of land and interests in land for such projects; and paying legal, fiscal, design and engineering fees in connection with such projects.</t>
  </si>
  <si>
    <t>2019 Combination Tax &amp; Surplus Revenue Certificates of Obligation</t>
  </si>
  <si>
    <t>2019 Ref General Obligation Refunding Bonds</t>
  </si>
  <si>
    <t>2020A Combination Tax &amp; Limited Surplus Revenue Certificates of Obligation</t>
  </si>
  <si>
    <t>2020 Ref General Obligation Refunding Bonds</t>
  </si>
  <si>
    <t>2020B Combination Tax and Limited Surplus Revenue Certificates of Obligation</t>
  </si>
  <si>
    <t>2021A Combination Tax and Limited Surplus Revenue Certificates of Obligation</t>
  </si>
  <si>
    <t>2021B Combination Tax and Limited Surplus Revenue Certificates of Obligation</t>
  </si>
  <si>
    <t>THF Park</t>
  </si>
  <si>
    <t>City Hall Reno / WS Impr</t>
  </si>
  <si>
    <t>WS Impr</t>
  </si>
  <si>
    <t>D3 Design</t>
  </si>
  <si>
    <t>D3 Streets / D3 Utilities</t>
  </si>
  <si>
    <t>Streets / WS Impr</t>
  </si>
  <si>
    <t>Fire Engine / FD Remodel</t>
  </si>
  <si>
    <t>GTUA</t>
  </si>
  <si>
    <t>GF/WS Energy Improvements</t>
  </si>
  <si>
    <t>Soutside Fire Station</t>
  </si>
  <si>
    <t>Utility Fund Obligated / Utility Fund Budgeted</t>
  </si>
  <si>
    <t>General Fund Obligated / Utility Fund Budgeted</t>
  </si>
  <si>
    <t>General Fund Obligated / General Fund Budgeted</t>
  </si>
  <si>
    <t>Purpose: To fund the waterworks &amp; sewer system improvements, and acquisition of land and interests in land for projects.</t>
  </si>
  <si>
    <t>General Fund Obligated / General Fund (76%) &amp; Utility Fund (24%) Budgeted</t>
  </si>
  <si>
    <t>General Fund Obligated / General Fund (43%) &amp; Utility Fund (57%) Budgeted</t>
  </si>
  <si>
    <t>General Fund Obligated / General Fund (62%) &amp; Utility Fund (38%) Budgeted</t>
  </si>
  <si>
    <t>General Fund Obligated / General Fund (77%) &amp; Utility Fund (23%) Budgeted</t>
  </si>
  <si>
    <t>UF-P</t>
  </si>
  <si>
    <t>GF-P</t>
  </si>
  <si>
    <t>GF-I</t>
  </si>
  <si>
    <t>UF-I</t>
  </si>
  <si>
    <t>Combination Tax and Limited Surplus Revenue Certificates of Obligation - Series 2022A</t>
  </si>
  <si>
    <t>Issue Amount:  $22,165,000</t>
  </si>
  <si>
    <t>09/30/2042</t>
  </si>
  <si>
    <t>Utility Fund Budgeted / DDA Portion</t>
  </si>
  <si>
    <t>Purpose: To fund the City's waterworks &amp; sewer system improvements, and acquisition of land and interests in land for projects.</t>
  </si>
  <si>
    <t>2022/2023 Budget</t>
  </si>
  <si>
    <t>Issue Amount:  $4,600,000</t>
  </si>
  <si>
    <t>DDA Portion</t>
  </si>
  <si>
    <t>UF</t>
  </si>
  <si>
    <t>Purpose: To fund demolition of dangerous structures in the City; and legal, fiscal and engineering fees in connection with such demolition projects and the Certificates.</t>
  </si>
  <si>
    <t>&lt;--- Do P&amp;I columns tie out to F10 and F24 totals.</t>
  </si>
  <si>
    <t>Greater Texoma Utility Authority Contract Revenue Bonds - Series 2010</t>
  </si>
  <si>
    <t xml:space="preserve"> (Lake Texoma Water Storage Project)</t>
  </si>
  <si>
    <t>Purpose: To fund the waterworks &amp; sewer system and to construct and improve streets, including sidewalks, landscaping, streetscaping, lighting, drainage, utility line relocations; and to construct and install parking facilities, all related to the D3 project.</t>
  </si>
  <si>
    <t>Combination Tax and Surplus Revenue Certificate of Obligation - Series 2017A</t>
  </si>
  <si>
    <t>Combination Tax &amp; Surplus Revenue Certificates of Obligation - Series 2018</t>
  </si>
  <si>
    <t>Combination Tax and Limited Surplus Revenue Certificates of Obligation - Taxable Series 2022B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</si>
</sst>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4" formatCode="_(&quot;$&quot;* #,##0.00_);_(&quot;$&quot;* \(#,##0.00\);_(&quot;$&quot;* &quot;-&quot;??_);_(@_)"/>
    <numFmt numFmtId="43" formatCode="_(* #,##0.00_);_(* \(#,##0.00\);_(* &quot;-&quot;??_);_(@_)"/>
    <numFmt numFmtId="164" formatCode="&quot;$&quot;#,##0.00"/>
  </numFmts>
  <fonts count="13" x14ac:knownFonts="1">
    <font>
      <sz val="11"/>
      <color theme="1"/>
      <name val="Calibri"/>
      <family val="2"/>
      <scheme val="minor"/>
    </font>
    <font>
      <sz val="10"/>
      <name val="Arial"/>
      <family val="2"/>
    </font>
    <font>
      <b/>
      <sz val="14"/>
      <name val="Arial"/>
      <family val="2"/>
    </font>
    <font>
      <b/>
      <sz val="12"/>
      <name val="Arial"/>
      <family val="2"/>
    </font>
    <font>
      <b/>
      <i/>
      <sz val="10"/>
      <name val="Arial"/>
      <family val="2"/>
    </font>
    <font>
      <b/>
      <sz val="10"/>
      <name val="Arial"/>
      <family val="2"/>
    </font>
    <font>
      <sz val="9"/>
      <name val="Arial"/>
      <family val="2"/>
    </font>
    <font>
      <b/>
      <sz val="9"/>
      <color rgb="FF0028A8"/>
      <name val="Arial"/>
      <family val="2"/>
    </font>
    <font>
      <b/>
      <sz val="9"/>
      <name val="Arial"/>
      <family val="2"/>
    </font>
    <font>
      <b/>
      <sz val="10"/>
      <color rgb="FF0028A8"/>
      <name val="Arial"/>
      <family val="2"/>
    </font>
    <font>
      <b/>
      <sz val="10"/>
      <color indexed="12"/>
      <name val="Arial"/>
      <family val="2"/>
    </font>
    <font>
      <sz val="8"/>
      <name val="Calibri"/>
      <family val="2"/>
      <scheme val="minor"/>
    </font>
    <font>
      <b/>
      <sz val="12"/>
      <color rgb="FFFF0000"/>
      <name val="Arial"/>
      <family val="2"/>
    </font>
  </fonts>
  <fills count="8">
    <fill>
      <patternFill patternType="none"/>
    </fill>
    <fill>
      <patternFill patternType="gray125"/>
    </fill>
    <fill>
      <patternFill patternType="solid">
        <fgColor rgb="FFA6C6B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249977111117893"/>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80">
    <xf numFmtId="0" fontId="0" fillId="0" borderId="0" xfId="0"/>
    <xf numFmtId="0" fontId="1" fillId="0" borderId="0" xfId="1"/>
    <xf numFmtId="0" fontId="3" fillId="0" borderId="0" xfId="1" applyFont="1" applyAlignment="1">
      <alignment horizontal="center"/>
    </xf>
    <xf numFmtId="0" fontId="5" fillId="0" borderId="1" xfId="1" applyFont="1" applyBorder="1" applyAlignment="1">
      <alignment horizontal="center"/>
    </xf>
    <xf numFmtId="49" fontId="6" fillId="0" borderId="0" xfId="1" applyNumberFormat="1" applyFont="1" applyAlignment="1">
      <alignment horizontal="center"/>
    </xf>
    <xf numFmtId="0" fontId="6" fillId="0" borderId="0" xfId="1" applyFont="1"/>
    <xf numFmtId="49" fontId="7" fillId="0" borderId="2" xfId="1" applyNumberFormat="1" applyFont="1" applyBorder="1" applyAlignment="1">
      <alignment horizontal="center"/>
    </xf>
    <xf numFmtId="49" fontId="1" fillId="0" borderId="0" xfId="1" applyNumberFormat="1" applyAlignment="1">
      <alignment horizontal="center"/>
    </xf>
    <xf numFmtId="0" fontId="2" fillId="0" borderId="0" xfId="1" applyFont="1" applyAlignment="1">
      <alignment horizontal="center"/>
    </xf>
    <xf numFmtId="0" fontId="5" fillId="0" borderId="3" xfId="1" applyFont="1" applyBorder="1" applyAlignment="1">
      <alignment horizontal="center"/>
    </xf>
    <xf numFmtId="0" fontId="5" fillId="0" borderId="0" xfId="1" applyFont="1" applyAlignment="1">
      <alignment horizontal="center"/>
    </xf>
    <xf numFmtId="0" fontId="8" fillId="0" borderId="6" xfId="1" applyFont="1" applyBorder="1" applyAlignment="1">
      <alignment horizontal="center"/>
    </xf>
    <xf numFmtId="0" fontId="5" fillId="0" borderId="7" xfId="1" applyFont="1" applyBorder="1" applyAlignment="1">
      <alignment horizontal="center"/>
    </xf>
    <xf numFmtId="0" fontId="5" fillId="0" borderId="8" xfId="1" applyFont="1" applyBorder="1" applyAlignment="1">
      <alignment horizontal="center"/>
    </xf>
    <xf numFmtId="0" fontId="1" fillId="0" borderId="6" xfId="1" applyBorder="1"/>
    <xf numFmtId="0" fontId="1" fillId="0" borderId="7" xfId="1" applyBorder="1"/>
    <xf numFmtId="0" fontId="1" fillId="0" borderId="8" xfId="1" applyBorder="1"/>
    <xf numFmtId="0" fontId="1" fillId="0" borderId="6" xfId="1" applyBorder="1" applyAlignment="1">
      <alignment horizontal="center"/>
    </xf>
    <xf numFmtId="43" fontId="1" fillId="0" borderId="7" xfId="1" applyNumberFormat="1" applyBorder="1" applyAlignment="1">
      <alignment horizontal="center"/>
    </xf>
    <xf numFmtId="43" fontId="1" fillId="0" borderId="0" xfId="1" applyNumberFormat="1" applyAlignment="1">
      <alignment horizontal="center"/>
    </xf>
    <xf numFmtId="43" fontId="1" fillId="0" borderId="8" xfId="1" applyNumberFormat="1" applyBorder="1" applyAlignment="1">
      <alignment horizontal="center"/>
    </xf>
    <xf numFmtId="4" fontId="1" fillId="0" borderId="0" xfId="1" applyNumberFormat="1"/>
    <xf numFmtId="0" fontId="9" fillId="0" borderId="9" xfId="1" applyFont="1" applyBorder="1" applyAlignment="1">
      <alignment horizontal="center"/>
    </xf>
    <xf numFmtId="164" fontId="9" fillId="0" borderId="4" xfId="1" applyNumberFormat="1" applyFont="1" applyBorder="1"/>
    <xf numFmtId="164" fontId="9" fillId="0" borderId="2" xfId="1" applyNumberFormat="1" applyFont="1" applyBorder="1"/>
    <xf numFmtId="164" fontId="9" fillId="0" borderId="5" xfId="1" applyNumberFormat="1" applyFont="1" applyBorder="1"/>
    <xf numFmtId="0" fontId="10" fillId="0" borderId="0" xfId="1" applyFont="1" applyAlignment="1">
      <alignment horizontal="center"/>
    </xf>
    <xf numFmtId="164" fontId="10" fillId="0" borderId="0" xfId="1" applyNumberFormat="1" applyFont="1"/>
    <xf numFmtId="0" fontId="1" fillId="0" borderId="0" xfId="1" applyAlignment="1">
      <alignment horizontal="center"/>
    </xf>
    <xf numFmtId="0" fontId="5" fillId="0" borderId="3" xfId="1" applyFont="1" applyBorder="1"/>
    <xf numFmtId="43" fontId="1" fillId="0" borderId="0" xfId="1" applyNumberFormat="1"/>
    <xf numFmtId="43" fontId="1" fillId="0" borderId="8" xfId="1" applyNumberFormat="1" applyBorder="1"/>
    <xf numFmtId="164" fontId="1" fillId="0" borderId="0" xfId="1" applyNumberFormat="1"/>
    <xf numFmtId="43" fontId="1" fillId="0" borderId="7" xfId="1" applyNumberFormat="1" applyBorder="1"/>
    <xf numFmtId="43" fontId="6" fillId="0" borderId="0" xfId="1" applyNumberFormat="1" applyFont="1" applyAlignment="1">
      <alignment horizontal="center"/>
    </xf>
    <xf numFmtId="43" fontId="7" fillId="0" borderId="2" xfId="1" applyNumberFormat="1" applyFont="1" applyBorder="1" applyAlignment="1">
      <alignment horizontal="center"/>
    </xf>
    <xf numFmtId="44" fontId="1" fillId="0" borderId="0" xfId="1" applyNumberFormat="1" applyAlignment="1">
      <alignment horizontal="center"/>
    </xf>
    <xf numFmtId="41" fontId="7" fillId="0" borderId="2" xfId="1" applyNumberFormat="1" applyFont="1" applyBorder="1" applyAlignment="1">
      <alignment horizontal="center"/>
    </xf>
    <xf numFmtId="41" fontId="6" fillId="0" borderId="0" xfId="1" applyNumberFormat="1" applyFont="1" applyAlignment="1">
      <alignment horizontal="center"/>
    </xf>
    <xf numFmtId="0" fontId="5" fillId="0" borderId="1" xfId="1" applyFont="1" applyBorder="1" applyAlignment="1">
      <alignment horizontal="right"/>
    </xf>
    <xf numFmtId="0" fontId="1" fillId="0" borderId="0" xfId="1" applyAlignment="1">
      <alignment horizontal="right"/>
    </xf>
    <xf numFmtId="0" fontId="4" fillId="0" borderId="0" xfId="1" applyFont="1" applyAlignment="1">
      <alignment horizontal="center" vertical="center" wrapText="1"/>
    </xf>
    <xf numFmtId="44" fontId="1" fillId="0" borderId="0" xfId="2"/>
    <xf numFmtId="164" fontId="9" fillId="0" borderId="7" xfId="1" applyNumberFormat="1" applyFont="1" applyBorder="1"/>
    <xf numFmtId="0" fontId="4" fillId="0" borderId="0" xfId="1" applyFont="1" applyAlignment="1">
      <alignment vertical="center" wrapText="1"/>
    </xf>
    <xf numFmtId="0" fontId="12" fillId="0" borderId="0" xfId="1" applyFont="1"/>
    <xf numFmtId="9" fontId="0" fillId="0" borderId="0" xfId="0" applyNumberFormat="1" applyAlignment="1">
      <alignment horizontal="center"/>
    </xf>
    <xf numFmtId="0" fontId="0" fillId="0" borderId="9" xfId="0" applyBorder="1"/>
    <xf numFmtId="0" fontId="0" fillId="0" borderId="4" xfId="0" applyBorder="1"/>
    <xf numFmtId="9" fontId="0" fillId="0" borderId="12" xfId="0" applyNumberFormat="1" applyBorder="1" applyAlignment="1">
      <alignment horizontal="center"/>
    </xf>
    <xf numFmtId="9" fontId="0" fillId="0" borderId="13" xfId="0" applyNumberFormat="1" applyBorder="1" applyAlignment="1">
      <alignment horizontal="center"/>
    </xf>
    <xf numFmtId="9" fontId="0" fillId="4" borderId="10" xfId="0" applyNumberFormat="1" applyFill="1" applyBorder="1" applyAlignment="1">
      <alignment horizontal="center"/>
    </xf>
    <xf numFmtId="9" fontId="0" fillId="4" borderId="11" xfId="0" applyNumberFormat="1" applyFill="1" applyBorder="1" applyAlignment="1">
      <alignment horizontal="center"/>
    </xf>
    <xf numFmtId="9" fontId="0" fillId="4" borderId="12" xfId="0" applyNumberFormat="1" applyFill="1" applyBorder="1" applyAlignment="1">
      <alignment horizontal="center"/>
    </xf>
    <xf numFmtId="9" fontId="0" fillId="4" borderId="13" xfId="0" applyNumberFormat="1" applyFill="1" applyBorder="1" applyAlignment="1">
      <alignment horizontal="center"/>
    </xf>
    <xf numFmtId="0" fontId="1" fillId="5" borderId="0" xfId="1" applyFill="1" applyAlignment="1">
      <alignment horizontal="left"/>
    </xf>
    <xf numFmtId="0" fontId="5" fillId="6" borderId="1" xfId="1" applyFont="1" applyFill="1" applyBorder="1" applyAlignment="1">
      <alignment horizontal="center"/>
    </xf>
    <xf numFmtId="0" fontId="1" fillId="6" borderId="0" xfId="1" applyFill="1" applyAlignment="1">
      <alignment horizontal="center"/>
    </xf>
    <xf numFmtId="43" fontId="6" fillId="6" borderId="0" xfId="1" applyNumberFormat="1" applyFont="1" applyFill="1" applyAlignment="1">
      <alignment horizontal="center"/>
    </xf>
    <xf numFmtId="0" fontId="5" fillId="3" borderId="1" xfId="1" applyFont="1" applyFill="1" applyBorder="1" applyAlignment="1">
      <alignment horizontal="center"/>
    </xf>
    <xf numFmtId="0" fontId="1" fillId="3" borderId="0" xfId="1" applyFill="1" applyAlignment="1">
      <alignment horizontal="center"/>
    </xf>
    <xf numFmtId="43" fontId="6" fillId="3" borderId="0" xfId="1" applyNumberFormat="1" applyFont="1" applyFill="1" applyAlignment="1">
      <alignment horizontal="center"/>
    </xf>
    <xf numFmtId="0" fontId="5" fillId="7" borderId="1" xfId="1" applyFont="1" applyFill="1" applyBorder="1" applyAlignment="1">
      <alignment horizontal="center"/>
    </xf>
    <xf numFmtId="0" fontId="1" fillId="7" borderId="0" xfId="1" applyFill="1" applyAlignment="1">
      <alignment horizontal="center"/>
    </xf>
    <xf numFmtId="43" fontId="6" fillId="7" borderId="0" xfId="1" applyNumberFormat="1" applyFont="1" applyFill="1" applyAlignment="1">
      <alignment horizontal="center"/>
    </xf>
    <xf numFmtId="43" fontId="7" fillId="7" borderId="2" xfId="1" applyNumberFormat="1" applyFont="1" applyFill="1" applyBorder="1" applyAlignment="1">
      <alignment horizontal="center"/>
    </xf>
    <xf numFmtId="0" fontId="5" fillId="7" borderId="1" xfId="1" applyFont="1" applyFill="1" applyBorder="1" applyAlignment="1">
      <alignment horizontal="right"/>
    </xf>
    <xf numFmtId="9" fontId="0" fillId="0" borderId="0" xfId="0" applyNumberFormat="1" applyAlignment="1">
      <alignment horizontal="center"/>
    </xf>
    <xf numFmtId="0" fontId="1" fillId="0" borderId="0" xfId="1" applyAlignment="1">
      <alignment horizontal="center"/>
    </xf>
    <xf numFmtId="0" fontId="2" fillId="2" borderId="0" xfId="1" applyFont="1" applyFill="1" applyAlignment="1">
      <alignment horizontal="center"/>
    </xf>
    <xf numFmtId="0" fontId="3" fillId="2" borderId="0" xfId="1" applyFont="1" applyFill="1" applyAlignment="1">
      <alignment horizontal="center"/>
    </xf>
    <xf numFmtId="0" fontId="4" fillId="2" borderId="0" xfId="1" applyFont="1" applyFill="1" applyAlignment="1">
      <alignment horizontal="center" wrapText="1"/>
    </xf>
    <xf numFmtId="0" fontId="1" fillId="3" borderId="0" xfId="1" applyFill="1" applyAlignment="1">
      <alignment horizontal="center" wrapText="1"/>
    </xf>
    <xf numFmtId="0" fontId="4" fillId="2" borderId="0" xfId="1" applyFont="1" applyFill="1" applyAlignment="1">
      <alignment horizontal="center" vertical="center" wrapText="1"/>
    </xf>
    <xf numFmtId="0" fontId="4" fillId="2" borderId="0" xfId="1" applyFont="1" applyFill="1" applyAlignment="1">
      <alignment horizontal="center" vertical="top" wrapText="1"/>
    </xf>
    <xf numFmtId="0" fontId="5" fillId="0" borderId="4" xfId="1" applyFont="1" applyBorder="1" applyAlignment="1">
      <alignment horizontal="center"/>
    </xf>
    <xf numFmtId="0" fontId="5" fillId="0" borderId="2" xfId="1" applyFont="1" applyBorder="1" applyAlignment="1">
      <alignment horizontal="center"/>
    </xf>
    <xf numFmtId="0" fontId="5" fillId="0" borderId="5" xfId="1" applyFont="1" applyBorder="1" applyAlignment="1">
      <alignment horizontal="center"/>
    </xf>
    <xf numFmtId="0" fontId="1" fillId="0" borderId="2" xfId="1" applyBorder="1"/>
    <xf numFmtId="0" fontId="1" fillId="0" borderId="5" xfId="1" applyBorder="1"/>
  </cellXfs>
  <cellStyles count="5">
    <cellStyle name="Comma 3 2" xfId="3" xr:uid="{00000000-0005-0000-0000-000000000000}"/>
    <cellStyle name="Currency 3 2" xfId="2" xr:uid="{00000000-0005-0000-0000-000001000000}"/>
    <cellStyle name="Normal" xfId="0" builtinId="0"/>
    <cellStyle name="Normal 2 2" xfId="1" xr:uid="{00000000-0005-0000-0000-000003000000}"/>
    <cellStyle name="Normal 2 3" xfId="4" xr:uid="{631969B2-832A-446A-8943-BAA7FF6831F8}"/>
  </cellStyles>
  <dxfs count="0"/>
  <tableStyles count="1" defaultTableStyle="TableStyleMedium2" defaultPivotStyle="PivotStyleLight16">
    <tableStyle name="Invisible" pivot="0" table="0" count="0" xr9:uid="{3B3BF081-8351-4A96-AEA9-7F6F3FA3310E}"/>
  </tableStyles>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4491-25E0-408C-B192-C5AEB0B161AE}">
  <sheetPr>
    <tabColor theme="7" tint="0.59999389629810485"/>
    <pageSetUpPr fitToPage="1"/>
  </sheetPr>
  <dimension ref="A1:F29"/>
  <sheetViews>
    <sheetView zoomScale="90" zoomScaleNormal="90" workbookViewId="0">
      <selection activeCell="K4" sqref="K4"/>
    </sheetView>
  </sheetViews>
  <sheetFormatPr defaultRowHeight="14.4" x14ac:dyDescent="0.3"/>
  <cols>
    <col min="1" max="1" width="70.44140625" customWidth="1"/>
    <col min="2" max="2" width="23.6640625" customWidth="1"/>
    <col min="3" max="6" width="5.88671875" style="46" bestFit="1" customWidth="1"/>
  </cols>
  <sheetData>
    <row r="1" spans="1:6" x14ac:dyDescent="0.3">
      <c r="C1" s="67" t="s">
        <v>58</v>
      </c>
      <c r="D1" s="67"/>
      <c r="E1" s="67" t="s">
        <v>61</v>
      </c>
      <c r="F1" s="67"/>
    </row>
    <row r="2" spans="1:6" ht="15" thickBot="1" x14ac:dyDescent="0.35">
      <c r="C2" s="46" t="s">
        <v>59</v>
      </c>
      <c r="D2" s="46" t="s">
        <v>60</v>
      </c>
      <c r="E2" s="46" t="s">
        <v>59</v>
      </c>
      <c r="F2" s="46" t="s">
        <v>60</v>
      </c>
    </row>
    <row r="3" spans="1:6" x14ac:dyDescent="0.3">
      <c r="A3" s="47" t="s">
        <v>68</v>
      </c>
      <c r="B3" s="48" t="s">
        <v>121</v>
      </c>
      <c r="C3" s="51"/>
      <c r="D3" s="52">
        <v>1</v>
      </c>
      <c r="E3" s="51"/>
      <c r="F3" s="52">
        <v>1</v>
      </c>
    </row>
    <row r="4" spans="1:6" x14ac:dyDescent="0.3">
      <c r="A4" s="47" t="s">
        <v>63</v>
      </c>
      <c r="B4" s="48" t="s">
        <v>122</v>
      </c>
      <c r="C4" s="53">
        <v>1</v>
      </c>
      <c r="D4" s="54"/>
      <c r="E4" s="53"/>
      <c r="F4" s="54">
        <v>1</v>
      </c>
    </row>
    <row r="5" spans="1:6" x14ac:dyDescent="0.3">
      <c r="A5" s="47" t="s">
        <v>62</v>
      </c>
      <c r="B5" s="48"/>
      <c r="C5" s="53">
        <v>1</v>
      </c>
      <c r="D5" s="54"/>
      <c r="E5" s="53">
        <v>0.76</v>
      </c>
      <c r="F5" s="54">
        <v>0.24</v>
      </c>
    </row>
    <row r="6" spans="1:6" x14ac:dyDescent="0.3">
      <c r="A6" s="47" t="s">
        <v>64</v>
      </c>
      <c r="B6" s="48" t="s">
        <v>123</v>
      </c>
      <c r="C6" s="53">
        <v>1</v>
      </c>
      <c r="D6" s="54"/>
      <c r="E6" s="53">
        <v>1</v>
      </c>
      <c r="F6" s="54"/>
    </row>
    <row r="7" spans="1:6" x14ac:dyDescent="0.3">
      <c r="A7" s="47" t="s">
        <v>65</v>
      </c>
      <c r="B7" s="48" t="s">
        <v>116</v>
      </c>
      <c r="C7" s="53">
        <v>1</v>
      </c>
      <c r="D7" s="54"/>
      <c r="E7" s="53"/>
      <c r="F7" s="54">
        <v>1</v>
      </c>
    </row>
    <row r="8" spans="1:6" x14ac:dyDescent="0.3">
      <c r="A8" s="47" t="s">
        <v>66</v>
      </c>
      <c r="B8" s="48" t="s">
        <v>116</v>
      </c>
      <c r="C8" s="53">
        <v>1</v>
      </c>
      <c r="D8" s="54"/>
      <c r="E8" s="53"/>
      <c r="F8" s="54">
        <v>1</v>
      </c>
    </row>
    <row r="9" spans="1:6" x14ac:dyDescent="0.3">
      <c r="A9" s="47" t="s">
        <v>67</v>
      </c>
      <c r="B9" s="48" t="s">
        <v>114</v>
      </c>
      <c r="C9" s="53">
        <v>1</v>
      </c>
      <c r="D9" s="54"/>
      <c r="E9" s="53">
        <v>1</v>
      </c>
      <c r="F9" s="54"/>
    </row>
    <row r="10" spans="1:6" x14ac:dyDescent="0.3">
      <c r="A10" s="47" t="s">
        <v>69</v>
      </c>
      <c r="B10" s="48" t="s">
        <v>115</v>
      </c>
      <c r="C10" s="53">
        <v>1</v>
      </c>
      <c r="D10" s="54"/>
      <c r="E10" s="53">
        <v>0.43</v>
      </c>
      <c r="F10" s="54">
        <v>0.56999999999999995</v>
      </c>
    </row>
    <row r="11" spans="1:6" x14ac:dyDescent="0.3">
      <c r="A11" s="47" t="s">
        <v>70</v>
      </c>
      <c r="B11" s="48" t="s">
        <v>114</v>
      </c>
      <c r="C11" s="53">
        <v>1</v>
      </c>
      <c r="D11" s="54"/>
      <c r="E11" s="53">
        <v>1</v>
      </c>
      <c r="F11" s="54"/>
    </row>
    <row r="12" spans="1:6" x14ac:dyDescent="0.3">
      <c r="A12" s="47" t="s">
        <v>71</v>
      </c>
      <c r="B12" s="48" t="s">
        <v>116</v>
      </c>
      <c r="C12" s="53">
        <v>1</v>
      </c>
      <c r="D12" s="54"/>
      <c r="E12" s="53"/>
      <c r="F12" s="54">
        <v>1</v>
      </c>
    </row>
    <row r="13" spans="1:6" x14ac:dyDescent="0.3">
      <c r="A13" s="47" t="s">
        <v>72</v>
      </c>
      <c r="B13" s="48" t="s">
        <v>117</v>
      </c>
      <c r="C13" s="53">
        <v>1</v>
      </c>
      <c r="D13" s="54"/>
      <c r="E13" s="53">
        <v>1</v>
      </c>
      <c r="F13" s="54"/>
    </row>
    <row r="14" spans="1:6" x14ac:dyDescent="0.3">
      <c r="A14" s="47" t="s">
        <v>107</v>
      </c>
      <c r="B14" s="48" t="s">
        <v>116</v>
      </c>
      <c r="C14" s="53">
        <v>1</v>
      </c>
      <c r="D14" s="54"/>
      <c r="E14" s="53"/>
      <c r="F14" s="54">
        <v>1</v>
      </c>
    </row>
    <row r="15" spans="1:6" x14ac:dyDescent="0.3">
      <c r="A15" s="47" t="s">
        <v>108</v>
      </c>
      <c r="B15" s="48"/>
      <c r="C15" s="53">
        <v>1</v>
      </c>
      <c r="D15" s="54"/>
      <c r="E15" s="53"/>
      <c r="F15" s="54">
        <v>1</v>
      </c>
    </row>
    <row r="16" spans="1:6" x14ac:dyDescent="0.3">
      <c r="A16" s="47" t="s">
        <v>109</v>
      </c>
      <c r="B16" s="48" t="s">
        <v>120</v>
      </c>
      <c r="C16" s="53">
        <v>1</v>
      </c>
      <c r="D16" s="54"/>
      <c r="E16" s="53">
        <v>1</v>
      </c>
      <c r="F16" s="54"/>
    </row>
    <row r="17" spans="1:6" x14ac:dyDescent="0.3">
      <c r="A17" s="47" t="s">
        <v>110</v>
      </c>
      <c r="B17" s="48"/>
      <c r="C17" s="53">
        <v>1</v>
      </c>
      <c r="D17" s="54"/>
      <c r="E17" s="53"/>
      <c r="F17" s="54">
        <v>1</v>
      </c>
    </row>
    <row r="18" spans="1:6" x14ac:dyDescent="0.3">
      <c r="A18" s="47" t="s">
        <v>111</v>
      </c>
      <c r="B18" s="48" t="s">
        <v>119</v>
      </c>
      <c r="C18" s="53">
        <v>1</v>
      </c>
      <c r="D18" s="54"/>
      <c r="E18" s="53">
        <v>0.62</v>
      </c>
      <c r="F18" s="54">
        <v>0.38</v>
      </c>
    </row>
    <row r="19" spans="1:6" x14ac:dyDescent="0.3">
      <c r="A19" s="47" t="s">
        <v>112</v>
      </c>
      <c r="B19" s="48" t="s">
        <v>118</v>
      </c>
      <c r="C19" s="53">
        <v>1</v>
      </c>
      <c r="D19" s="54"/>
      <c r="E19" s="53">
        <v>0.77</v>
      </c>
      <c r="F19" s="54">
        <v>0.23</v>
      </c>
    </row>
    <row r="20" spans="1:6" x14ac:dyDescent="0.3">
      <c r="A20" s="47" t="s">
        <v>113</v>
      </c>
      <c r="B20" s="48" t="s">
        <v>116</v>
      </c>
      <c r="C20" s="53">
        <v>1</v>
      </c>
      <c r="D20" s="54"/>
      <c r="E20" s="53"/>
      <c r="F20" s="54">
        <v>1</v>
      </c>
    </row>
    <row r="21" spans="1:6" x14ac:dyDescent="0.3">
      <c r="A21" s="47"/>
      <c r="B21" s="48"/>
      <c r="C21" s="49"/>
      <c r="D21" s="50"/>
      <c r="E21" s="49"/>
      <c r="F21" s="50"/>
    </row>
    <row r="22" spans="1:6" x14ac:dyDescent="0.3">
      <c r="A22" s="47"/>
      <c r="B22" s="48"/>
      <c r="C22" s="49"/>
      <c r="D22" s="50"/>
      <c r="E22" s="49"/>
      <c r="F22" s="50"/>
    </row>
    <row r="23" spans="1:6" x14ac:dyDescent="0.3">
      <c r="A23" s="47"/>
      <c r="B23" s="48"/>
      <c r="C23" s="49"/>
      <c r="D23" s="50"/>
      <c r="E23" s="49"/>
      <c r="F23" s="50"/>
    </row>
    <row r="24" spans="1:6" x14ac:dyDescent="0.3">
      <c r="A24" s="47"/>
      <c r="B24" s="48"/>
      <c r="C24" s="49"/>
      <c r="D24" s="50"/>
      <c r="E24" s="49"/>
      <c r="F24" s="50"/>
    </row>
    <row r="25" spans="1:6" x14ac:dyDescent="0.3">
      <c r="A25" s="47"/>
      <c r="B25" s="48"/>
      <c r="C25" s="49"/>
      <c r="D25" s="50"/>
      <c r="E25" s="49"/>
      <c r="F25" s="50"/>
    </row>
    <row r="26" spans="1:6" x14ac:dyDescent="0.3">
      <c r="A26" s="47"/>
      <c r="B26" s="48"/>
      <c r="C26" s="49"/>
      <c r="D26" s="50"/>
      <c r="E26" s="49"/>
      <c r="F26" s="50"/>
    </row>
    <row r="27" spans="1:6" x14ac:dyDescent="0.3">
      <c r="A27" s="47"/>
      <c r="B27" s="48"/>
      <c r="C27" s="49"/>
      <c r="D27" s="50"/>
      <c r="E27" s="49"/>
      <c r="F27" s="50"/>
    </row>
    <row r="28" spans="1:6" x14ac:dyDescent="0.3">
      <c r="A28" s="47"/>
      <c r="B28" s="48"/>
      <c r="C28" s="49"/>
      <c r="D28" s="50"/>
      <c r="E28" s="49"/>
      <c r="F28" s="50"/>
    </row>
    <row r="29" spans="1:6" x14ac:dyDescent="0.3">
      <c r="A29" s="47"/>
      <c r="B29" s="48"/>
      <c r="C29" s="49"/>
      <c r="D29" s="50"/>
      <c r="E29" s="49"/>
      <c r="F29" s="50"/>
    </row>
  </sheetData>
  <mergeCells count="2">
    <mergeCell ref="C1:D1"/>
    <mergeCell ref="E1:F1"/>
  </mergeCells>
  <pageMargins left="0.5" right="0.5" top="0.75" bottom="0.75" header="0.3" footer="0.3"/>
  <pageSetup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D46"/>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96</v>
      </c>
      <c r="B4" s="70"/>
      <c r="C4" s="70"/>
      <c r="D4" s="70"/>
    </row>
    <row r="5" spans="1:4" ht="15" customHeight="1" x14ac:dyDescent="0.3">
      <c r="A5" s="70" t="s">
        <v>54</v>
      </c>
      <c r="B5" s="70"/>
      <c r="C5" s="70"/>
      <c r="D5" s="70"/>
    </row>
    <row r="6" spans="1:4" ht="8.25" customHeight="1" x14ac:dyDescent="0.25">
      <c r="A6" s="73" t="s">
        <v>90</v>
      </c>
      <c r="B6" s="73"/>
      <c r="C6" s="73"/>
      <c r="D6" s="73"/>
    </row>
    <row r="7" spans="1:4" ht="15" customHeight="1" x14ac:dyDescent="0.25">
      <c r="A7" s="73"/>
      <c r="B7" s="73"/>
      <c r="C7" s="73"/>
      <c r="D7" s="73"/>
    </row>
    <row r="8" spans="1:4" ht="23.25" customHeight="1" x14ac:dyDescent="0.25">
      <c r="A8" s="73"/>
      <c r="B8" s="73"/>
      <c r="C8" s="73"/>
      <c r="D8" s="73"/>
    </row>
    <row r="9" spans="1:4" ht="15" customHeight="1" x14ac:dyDescent="0.25">
      <c r="A9" s="72" t="s">
        <v>126</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row r="14" spans="1:4" s="5" customFormat="1" ht="12" customHeight="1" x14ac:dyDescent="0.2">
      <c r="A14" s="4" t="s">
        <v>6</v>
      </c>
      <c r="B14" s="34">
        <v>290000</v>
      </c>
      <c r="C14" s="34">
        <f>16308+13176</f>
        <v>29484</v>
      </c>
      <c r="D14" s="34">
        <f t="shared" ref="D14:D18" si="0">+B14+C14</f>
        <v>319484</v>
      </c>
    </row>
    <row r="15" spans="1:4" s="5" customFormat="1" ht="12" customHeight="1" x14ac:dyDescent="0.2">
      <c r="A15" s="4" t="s">
        <v>7</v>
      </c>
      <c r="B15" s="34">
        <v>295000</v>
      </c>
      <c r="C15" s="34">
        <f>13176+9990</f>
        <v>23166</v>
      </c>
      <c r="D15" s="34">
        <f t="shared" si="0"/>
        <v>318166</v>
      </c>
    </row>
    <row r="16" spans="1:4" s="5" customFormat="1" ht="12" customHeight="1" x14ac:dyDescent="0.2">
      <c r="A16" s="4" t="s">
        <v>8</v>
      </c>
      <c r="B16" s="34">
        <v>300000</v>
      </c>
      <c r="C16" s="34">
        <f>9990+6750</f>
        <v>16740</v>
      </c>
      <c r="D16" s="34">
        <f t="shared" si="0"/>
        <v>316740</v>
      </c>
    </row>
    <row r="17" spans="1:4" s="5" customFormat="1" ht="12" customHeight="1" x14ac:dyDescent="0.2">
      <c r="A17" s="4" t="s">
        <v>9</v>
      </c>
      <c r="B17" s="34">
        <v>310000</v>
      </c>
      <c r="C17" s="34">
        <f>6750+3402</f>
        <v>10152</v>
      </c>
      <c r="D17" s="34">
        <f t="shared" si="0"/>
        <v>320152</v>
      </c>
    </row>
    <row r="18" spans="1:4" s="5" customFormat="1" ht="12" customHeight="1" x14ac:dyDescent="0.2">
      <c r="A18" s="4" t="s">
        <v>10</v>
      </c>
      <c r="B18" s="34">
        <v>315000</v>
      </c>
      <c r="C18" s="34">
        <v>3402</v>
      </c>
      <c r="D18" s="34">
        <f t="shared" si="0"/>
        <v>318402</v>
      </c>
    </row>
    <row r="19" spans="1:4" s="5" customFormat="1" ht="12" customHeight="1" x14ac:dyDescent="0.25">
      <c r="A19" s="6" t="s">
        <v>4</v>
      </c>
      <c r="B19" s="35">
        <f>SUM(B13:B18)</f>
        <v>1510000</v>
      </c>
      <c r="C19" s="35">
        <f>SUM(C13:C18)</f>
        <v>82944</v>
      </c>
      <c r="D19" s="35">
        <f>SUM(D13:D18)</f>
        <v>1592944</v>
      </c>
    </row>
    <row r="20" spans="1:4" ht="11.25" customHeight="1" x14ac:dyDescent="0.25">
      <c r="A20" s="7"/>
      <c r="C20" s="19"/>
      <c r="D20" s="19"/>
    </row>
    <row r="21" spans="1:4" ht="11.25" customHeight="1" x14ac:dyDescent="0.25">
      <c r="A21" s="7"/>
      <c r="B21" s="19"/>
      <c r="C21" s="19"/>
      <c r="D21" s="19"/>
    </row>
    <row r="22" spans="1:4" ht="11.25" customHeight="1" x14ac:dyDescent="0.25">
      <c r="A22" s="7"/>
      <c r="B22" s="19"/>
      <c r="C22" s="19"/>
      <c r="D22" s="19"/>
    </row>
    <row r="23" spans="1:4" ht="11.25" customHeight="1" x14ac:dyDescent="0.25">
      <c r="A23" s="7"/>
      <c r="B23" s="19"/>
      <c r="C23" s="19"/>
      <c r="D23" s="19"/>
    </row>
    <row r="24" spans="1:4" ht="11.25" customHeight="1" x14ac:dyDescent="0.25">
      <c r="A24" s="7"/>
      <c r="B24" s="19"/>
      <c r="C24" s="19"/>
      <c r="D24" s="19"/>
    </row>
    <row r="25" spans="1:4" ht="11.25" customHeight="1" x14ac:dyDescent="0.25">
      <c r="A25" s="7"/>
      <c r="B25" s="19"/>
      <c r="C25" s="19"/>
      <c r="D25" s="19"/>
    </row>
    <row r="26" spans="1:4" ht="11.25" customHeight="1" x14ac:dyDescent="0.25">
      <c r="A26" s="7"/>
      <c r="B26" s="19"/>
      <c r="C26" s="19"/>
      <c r="D26" s="19"/>
    </row>
    <row r="27" spans="1:4" x14ac:dyDescent="0.25">
      <c r="A27" s="7"/>
      <c r="B27" s="36"/>
      <c r="C27" s="36"/>
      <c r="D27" s="36"/>
    </row>
    <row r="28" spans="1:4" x14ac:dyDescent="0.25">
      <c r="A28" s="7"/>
      <c r="B28" s="36"/>
      <c r="C28" s="36"/>
      <c r="D28" s="36"/>
    </row>
    <row r="29" spans="1:4" x14ac:dyDescent="0.25">
      <c r="A29" s="7"/>
      <c r="B29" s="36"/>
      <c r="C29" s="36"/>
      <c r="D29" s="36"/>
    </row>
    <row r="30" spans="1:4" x14ac:dyDescent="0.25">
      <c r="A30" s="7"/>
      <c r="B30" s="36"/>
      <c r="C30" s="36"/>
      <c r="D30" s="36"/>
    </row>
    <row r="31" spans="1:4" x14ac:dyDescent="0.25">
      <c r="A31" s="7"/>
      <c r="B31" s="36"/>
      <c r="C31" s="36"/>
      <c r="D31" s="36"/>
    </row>
    <row r="32" spans="1:4" x14ac:dyDescent="0.25">
      <c r="A32" s="7"/>
      <c r="B32" s="36"/>
      <c r="C32" s="36"/>
      <c r="D32" s="36"/>
    </row>
    <row r="33" spans="1:4" x14ac:dyDescent="0.25">
      <c r="A33" s="7"/>
      <c r="B33" s="36"/>
      <c r="C33" s="36"/>
      <c r="D33" s="36"/>
    </row>
    <row r="34" spans="1:4" x14ac:dyDescent="0.25">
      <c r="A34" s="7"/>
      <c r="B34" s="36"/>
      <c r="C34" s="36"/>
      <c r="D34" s="36"/>
    </row>
    <row r="35" spans="1:4" x14ac:dyDescent="0.25">
      <c r="A35" s="7"/>
      <c r="B35" s="36"/>
      <c r="C35" s="36"/>
      <c r="D35" s="36"/>
    </row>
    <row r="36" spans="1:4" x14ac:dyDescent="0.25">
      <c r="A36" s="7"/>
      <c r="B36" s="36"/>
      <c r="C36" s="36"/>
      <c r="D36" s="36"/>
    </row>
    <row r="37" spans="1:4" x14ac:dyDescent="0.25">
      <c r="B37" s="36"/>
      <c r="C37" s="36"/>
      <c r="D37" s="36"/>
    </row>
    <row r="38" spans="1:4" x14ac:dyDescent="0.25">
      <c r="B38" s="36"/>
      <c r="C38" s="36"/>
      <c r="D38" s="36"/>
    </row>
    <row r="39" spans="1:4" x14ac:dyDescent="0.25">
      <c r="B39" s="36"/>
      <c r="C39" s="36"/>
      <c r="D39" s="36"/>
    </row>
    <row r="40" spans="1:4" x14ac:dyDescent="0.25">
      <c r="B40" s="36"/>
      <c r="C40" s="36"/>
      <c r="D40" s="36"/>
    </row>
    <row r="41" spans="1:4" x14ac:dyDescent="0.25">
      <c r="B41" s="36"/>
      <c r="C41" s="36"/>
      <c r="D41" s="36"/>
    </row>
    <row r="42" spans="1:4" x14ac:dyDescent="0.25">
      <c r="B42" s="36"/>
      <c r="C42" s="36"/>
      <c r="D42" s="36"/>
    </row>
    <row r="43" spans="1:4" x14ac:dyDescent="0.25">
      <c r="B43" s="36"/>
      <c r="C43" s="36"/>
      <c r="D43" s="36"/>
    </row>
    <row r="44" spans="1:4" x14ac:dyDescent="0.25">
      <c r="B44" s="36"/>
      <c r="C44" s="36"/>
      <c r="D44" s="36"/>
    </row>
    <row r="45" spans="1:4" x14ac:dyDescent="0.25">
      <c r="B45" s="36"/>
      <c r="C45" s="36"/>
      <c r="D45" s="36"/>
    </row>
    <row r="46" spans="1:4" x14ac:dyDescent="0.25">
      <c r="B46" s="36"/>
      <c r="C46" s="36"/>
      <c r="D46" s="36"/>
    </row>
  </sheetData>
  <mergeCells count="8">
    <mergeCell ref="A11:D11"/>
    <mergeCell ref="A1:D1"/>
    <mergeCell ref="A2:D2"/>
    <mergeCell ref="A3:D3"/>
    <mergeCell ref="A4:D4"/>
    <mergeCell ref="A5:D5"/>
    <mergeCell ref="A6:D8"/>
    <mergeCell ref="A9:D9"/>
  </mergeCells>
  <pageMargins left="0.75" right="0.4" top="0.75" bottom="0.75" header="0.5" footer="0.5"/>
  <pageSetup scale="90" firstPageNumber="0"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79E20-6696-47CC-AF83-4575CB0E7973}">
  <sheetPr>
    <tabColor rgb="FF00B0F0"/>
  </sheetPr>
  <dimension ref="A1:D57"/>
  <sheetViews>
    <sheetView workbookViewId="0">
      <selection activeCell="A5" sqref="A5:D5"/>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151</v>
      </c>
      <c r="B4" s="70"/>
      <c r="C4" s="70"/>
      <c r="D4" s="70"/>
    </row>
    <row r="5" spans="1:4" ht="15" customHeight="1" x14ac:dyDescent="0.3">
      <c r="A5" s="70" t="s">
        <v>55</v>
      </c>
      <c r="B5" s="70"/>
      <c r="C5" s="70"/>
      <c r="D5" s="70"/>
    </row>
    <row r="6" spans="1:4" ht="8.25" customHeight="1" x14ac:dyDescent="0.25">
      <c r="A6" s="73" t="s">
        <v>91</v>
      </c>
      <c r="B6" s="73"/>
      <c r="C6" s="73"/>
      <c r="D6" s="73"/>
    </row>
    <row r="7" spans="1:4" ht="15" customHeight="1" x14ac:dyDescent="0.25">
      <c r="A7" s="73"/>
      <c r="B7" s="73"/>
      <c r="C7" s="73"/>
      <c r="D7" s="73"/>
    </row>
    <row r="8" spans="1:4" ht="23.25" customHeight="1" x14ac:dyDescent="0.25">
      <c r="A8" s="73"/>
      <c r="B8" s="73"/>
      <c r="C8" s="73"/>
      <c r="D8" s="73"/>
    </row>
    <row r="9" spans="1:4" ht="15" customHeight="1" x14ac:dyDescent="0.25">
      <c r="A9" s="72" t="s">
        <v>125</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row r="14" spans="1:4" s="5" customFormat="1" ht="12" customHeight="1" x14ac:dyDescent="0.2">
      <c r="A14" s="4" t="s">
        <v>6</v>
      </c>
      <c r="B14" s="34">
        <v>300000</v>
      </c>
      <c r="C14" s="34">
        <f>101420+95420</f>
        <v>196840</v>
      </c>
      <c r="D14" s="34">
        <f t="shared" ref="D14:D29" si="0">+B14+C14</f>
        <v>496840</v>
      </c>
    </row>
    <row r="15" spans="1:4" s="5" customFormat="1" ht="12" customHeight="1" x14ac:dyDescent="0.2">
      <c r="A15" s="4" t="s">
        <v>7</v>
      </c>
      <c r="B15" s="34">
        <v>315000</v>
      </c>
      <c r="C15" s="34">
        <f>95420+89120</f>
        <v>184540</v>
      </c>
      <c r="D15" s="34">
        <f t="shared" si="0"/>
        <v>499540</v>
      </c>
    </row>
    <row r="16" spans="1:4" s="5" customFormat="1" ht="12" customHeight="1" x14ac:dyDescent="0.2">
      <c r="A16" s="4" t="s">
        <v>8</v>
      </c>
      <c r="B16" s="34">
        <v>325000</v>
      </c>
      <c r="C16" s="34">
        <f>89120+82620</f>
        <v>171740</v>
      </c>
      <c r="D16" s="34">
        <f t="shared" si="0"/>
        <v>496740</v>
      </c>
    </row>
    <row r="17" spans="1:4" s="5" customFormat="1" ht="12" customHeight="1" x14ac:dyDescent="0.2">
      <c r="A17" s="4" t="s">
        <v>9</v>
      </c>
      <c r="B17" s="34">
        <v>335000</v>
      </c>
      <c r="C17" s="34">
        <f>82620+77595</f>
        <v>160215</v>
      </c>
      <c r="D17" s="34">
        <f t="shared" si="0"/>
        <v>495215</v>
      </c>
    </row>
    <row r="18" spans="1:4" s="5" customFormat="1" ht="12" customHeight="1" x14ac:dyDescent="0.2">
      <c r="A18" s="4" t="s">
        <v>10</v>
      </c>
      <c r="B18" s="34">
        <v>345000</v>
      </c>
      <c r="C18" s="34">
        <f>77595+72420</f>
        <v>150015</v>
      </c>
      <c r="D18" s="34">
        <f t="shared" si="0"/>
        <v>495015</v>
      </c>
    </row>
    <row r="19" spans="1:4" s="5" customFormat="1" ht="12" customHeight="1" x14ac:dyDescent="0.2">
      <c r="A19" s="4" t="s">
        <v>11</v>
      </c>
      <c r="B19" s="34">
        <v>360000</v>
      </c>
      <c r="C19" s="34">
        <f>72420+67020</f>
        <v>139440</v>
      </c>
      <c r="D19" s="34">
        <f t="shared" si="0"/>
        <v>499440</v>
      </c>
    </row>
    <row r="20" spans="1:4" s="5" customFormat="1" ht="12" customHeight="1" x14ac:dyDescent="0.2">
      <c r="A20" s="4" t="s">
        <v>16</v>
      </c>
      <c r="B20" s="34">
        <v>370000</v>
      </c>
      <c r="C20" s="34">
        <f>67020+61470</f>
        <v>128490</v>
      </c>
      <c r="D20" s="34">
        <f t="shared" si="0"/>
        <v>498490</v>
      </c>
    </row>
    <row r="21" spans="1:4" s="5" customFormat="1" ht="12" customHeight="1" x14ac:dyDescent="0.2">
      <c r="A21" s="4" t="s">
        <v>22</v>
      </c>
      <c r="B21" s="34">
        <v>380000</v>
      </c>
      <c r="C21" s="34">
        <f>61470+55770</f>
        <v>117240</v>
      </c>
      <c r="D21" s="34">
        <f t="shared" si="0"/>
        <v>497240</v>
      </c>
    </row>
    <row r="22" spans="1:4" s="5" customFormat="1" ht="12" customHeight="1" x14ac:dyDescent="0.2">
      <c r="A22" s="4" t="s">
        <v>23</v>
      </c>
      <c r="B22" s="34">
        <v>390000</v>
      </c>
      <c r="C22" s="34">
        <f>55770+49920</f>
        <v>105690</v>
      </c>
      <c r="D22" s="34">
        <f t="shared" si="0"/>
        <v>495690</v>
      </c>
    </row>
    <row r="23" spans="1:4" s="5" customFormat="1" ht="12" customHeight="1" x14ac:dyDescent="0.2">
      <c r="A23" s="4" t="s">
        <v>24</v>
      </c>
      <c r="B23" s="34">
        <v>405000</v>
      </c>
      <c r="C23" s="34">
        <f>49920+43440</f>
        <v>93360</v>
      </c>
      <c r="D23" s="34">
        <f t="shared" si="0"/>
        <v>498360</v>
      </c>
    </row>
    <row r="24" spans="1:4" s="5" customFormat="1" ht="12" customHeight="1" x14ac:dyDescent="0.2">
      <c r="A24" s="4" t="s">
        <v>25</v>
      </c>
      <c r="B24" s="34">
        <v>415000</v>
      </c>
      <c r="C24" s="34">
        <f>43440+36800</f>
        <v>80240</v>
      </c>
      <c r="D24" s="34">
        <f t="shared" si="0"/>
        <v>495240</v>
      </c>
    </row>
    <row r="25" spans="1:4" s="5" customFormat="1" ht="12" customHeight="1" x14ac:dyDescent="0.2">
      <c r="A25" s="4" t="s">
        <v>28</v>
      </c>
      <c r="B25" s="34">
        <v>430000</v>
      </c>
      <c r="C25" s="34">
        <f>36800+29920</f>
        <v>66720</v>
      </c>
      <c r="D25" s="34">
        <f t="shared" si="0"/>
        <v>496720</v>
      </c>
    </row>
    <row r="26" spans="1:4" s="5" customFormat="1" ht="12" customHeight="1" x14ac:dyDescent="0.2">
      <c r="A26" s="4" t="s">
        <v>29</v>
      </c>
      <c r="B26" s="34">
        <v>445000</v>
      </c>
      <c r="C26" s="34">
        <f>29920+22800</f>
        <v>52720</v>
      </c>
      <c r="D26" s="34">
        <f t="shared" si="0"/>
        <v>497720</v>
      </c>
    </row>
    <row r="27" spans="1:4" s="5" customFormat="1" ht="12" customHeight="1" x14ac:dyDescent="0.2">
      <c r="A27" s="4" t="s">
        <v>45</v>
      </c>
      <c r="B27" s="34">
        <v>460000</v>
      </c>
      <c r="C27" s="34">
        <f>22800+15440</f>
        <v>38240</v>
      </c>
      <c r="D27" s="34">
        <f t="shared" si="0"/>
        <v>498240</v>
      </c>
    </row>
    <row r="28" spans="1:4" s="5" customFormat="1" ht="12" customHeight="1" x14ac:dyDescent="0.2">
      <c r="A28" s="4" t="s">
        <v>53</v>
      </c>
      <c r="B28" s="34">
        <v>475000</v>
      </c>
      <c r="C28" s="34">
        <f>15440+7840</f>
        <v>23280</v>
      </c>
      <c r="D28" s="34">
        <f t="shared" si="0"/>
        <v>498280</v>
      </c>
    </row>
    <row r="29" spans="1:4" s="5" customFormat="1" ht="12" customHeight="1" x14ac:dyDescent="0.2">
      <c r="A29" s="4" t="s">
        <v>56</v>
      </c>
      <c r="B29" s="34">
        <v>490000</v>
      </c>
      <c r="C29" s="34">
        <v>7840</v>
      </c>
      <c r="D29" s="34">
        <f t="shared" si="0"/>
        <v>497840</v>
      </c>
    </row>
    <row r="30" spans="1:4" s="5" customFormat="1" ht="12" customHeight="1" x14ac:dyDescent="0.25">
      <c r="A30" s="6" t="s">
        <v>4</v>
      </c>
      <c r="B30" s="35">
        <f>SUM(B13:B29)</f>
        <v>6240000</v>
      </c>
      <c r="C30" s="35">
        <f t="shared" ref="C30:D30" si="1">SUM(C13:C29)</f>
        <v>1716610</v>
      </c>
      <c r="D30" s="35">
        <f t="shared" si="1"/>
        <v>7956610</v>
      </c>
    </row>
    <row r="31" spans="1:4" ht="11.25" customHeight="1" x14ac:dyDescent="0.25">
      <c r="A31" s="7"/>
      <c r="C31" s="19"/>
      <c r="D31" s="19"/>
    </row>
    <row r="32" spans="1:4" ht="11.25" customHeight="1" x14ac:dyDescent="0.25">
      <c r="A32" s="7"/>
      <c r="B32" s="19"/>
      <c r="C32" s="19"/>
      <c r="D32" s="19"/>
    </row>
    <row r="33" spans="1:4" ht="11.25" customHeight="1" x14ac:dyDescent="0.25">
      <c r="A33" s="7"/>
      <c r="B33" s="19"/>
      <c r="C33" s="19"/>
      <c r="D33" s="19"/>
    </row>
    <row r="34" spans="1:4" ht="11.25" customHeight="1" x14ac:dyDescent="0.25">
      <c r="A34" s="7"/>
      <c r="B34" s="19"/>
      <c r="C34" s="19"/>
      <c r="D34" s="19"/>
    </row>
    <row r="35" spans="1:4" ht="11.25" customHeight="1" x14ac:dyDescent="0.25">
      <c r="A35" s="7"/>
      <c r="B35" s="19"/>
      <c r="C35" s="19"/>
      <c r="D35" s="19"/>
    </row>
    <row r="36" spans="1:4" ht="11.25" customHeight="1" x14ac:dyDescent="0.25">
      <c r="A36" s="7"/>
      <c r="B36" s="19"/>
      <c r="C36" s="19"/>
      <c r="D36" s="19"/>
    </row>
    <row r="37" spans="1:4" ht="11.25" customHeight="1" x14ac:dyDescent="0.25">
      <c r="A37" s="7"/>
      <c r="B37" s="19"/>
      <c r="C37" s="19"/>
      <c r="D37" s="19"/>
    </row>
    <row r="38" spans="1:4" x14ac:dyDescent="0.25">
      <c r="A38" s="7"/>
      <c r="B38" s="36"/>
      <c r="C38" s="36"/>
      <c r="D38" s="36"/>
    </row>
    <row r="39" spans="1:4" x14ac:dyDescent="0.25">
      <c r="A39" s="7"/>
      <c r="B39" s="36"/>
      <c r="C39" s="36"/>
      <c r="D39" s="36"/>
    </row>
    <row r="40" spans="1:4" x14ac:dyDescent="0.25">
      <c r="A40" s="7"/>
      <c r="B40" s="36"/>
      <c r="C40" s="36"/>
      <c r="D40" s="36"/>
    </row>
    <row r="41" spans="1:4" x14ac:dyDescent="0.25">
      <c r="A41" s="7"/>
      <c r="B41" s="36"/>
      <c r="C41" s="36"/>
      <c r="D41" s="36"/>
    </row>
    <row r="42" spans="1:4" x14ac:dyDescent="0.25">
      <c r="A42" s="7"/>
      <c r="B42" s="36"/>
      <c r="C42" s="36"/>
      <c r="D42" s="36"/>
    </row>
    <row r="43" spans="1:4" x14ac:dyDescent="0.25">
      <c r="A43" s="7"/>
      <c r="B43" s="36"/>
      <c r="C43" s="36"/>
      <c r="D43" s="36"/>
    </row>
    <row r="44" spans="1:4" x14ac:dyDescent="0.25">
      <c r="A44" s="7"/>
      <c r="B44" s="36"/>
      <c r="C44" s="36"/>
      <c r="D44" s="36"/>
    </row>
    <row r="45" spans="1:4" x14ac:dyDescent="0.25">
      <c r="A45" s="7"/>
      <c r="B45" s="36"/>
      <c r="C45" s="36"/>
      <c r="D45" s="36"/>
    </row>
    <row r="46" spans="1:4" x14ac:dyDescent="0.25">
      <c r="A46" s="7"/>
      <c r="B46" s="36"/>
      <c r="C46" s="36"/>
      <c r="D46" s="36"/>
    </row>
    <row r="47" spans="1:4" x14ac:dyDescent="0.25">
      <c r="A47" s="7"/>
      <c r="B47" s="36"/>
      <c r="C47" s="36"/>
      <c r="D47" s="36"/>
    </row>
    <row r="48" spans="1:4" x14ac:dyDescent="0.25">
      <c r="B48" s="36"/>
      <c r="C48" s="36"/>
      <c r="D48" s="36"/>
    </row>
    <row r="49" spans="2:4" x14ac:dyDescent="0.25">
      <c r="B49" s="36"/>
      <c r="C49" s="36"/>
      <c r="D49" s="36"/>
    </row>
    <row r="50" spans="2:4" x14ac:dyDescent="0.25">
      <c r="B50" s="36"/>
      <c r="C50" s="36"/>
      <c r="D50" s="36"/>
    </row>
    <row r="51" spans="2:4" x14ac:dyDescent="0.25">
      <c r="B51" s="36"/>
      <c r="C51" s="36"/>
      <c r="D51" s="36"/>
    </row>
    <row r="52" spans="2:4" x14ac:dyDescent="0.25">
      <c r="B52" s="36"/>
      <c r="C52" s="36"/>
      <c r="D52" s="36"/>
    </row>
    <row r="53" spans="2:4" x14ac:dyDescent="0.25">
      <c r="B53" s="36"/>
      <c r="C53" s="36"/>
      <c r="D53" s="36"/>
    </row>
    <row r="54" spans="2:4" x14ac:dyDescent="0.25">
      <c r="B54" s="36"/>
      <c r="C54" s="36"/>
      <c r="D54" s="36"/>
    </row>
    <row r="55" spans="2:4" x14ac:dyDescent="0.25">
      <c r="B55" s="36"/>
      <c r="C55" s="36"/>
      <c r="D55" s="36"/>
    </row>
    <row r="56" spans="2:4" x14ac:dyDescent="0.25">
      <c r="B56" s="36"/>
      <c r="C56" s="36"/>
      <c r="D56" s="36"/>
    </row>
    <row r="57" spans="2:4" x14ac:dyDescent="0.25">
      <c r="B57" s="36"/>
      <c r="C57" s="36"/>
      <c r="D57" s="36"/>
    </row>
  </sheetData>
  <mergeCells count="8">
    <mergeCell ref="A11:D11"/>
    <mergeCell ref="A1:D1"/>
    <mergeCell ref="A2:D2"/>
    <mergeCell ref="A3:D3"/>
    <mergeCell ref="A4:D4"/>
    <mergeCell ref="A5:D5"/>
    <mergeCell ref="A6:D8"/>
    <mergeCell ref="A9:D9"/>
  </mergeCells>
  <pageMargins left="0.75" right="0.4" top="0.75" bottom="0.75" header="0.5" footer="0.5"/>
  <pageSetup scale="90" firstPageNumber="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F6D2D-2D1C-42F1-BE7E-5E07FA2C4C30}">
  <sheetPr>
    <tabColor rgb="FF00B0F0"/>
  </sheetPr>
  <dimension ref="A1:D47"/>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97</v>
      </c>
      <c r="B4" s="70"/>
      <c r="C4" s="70"/>
      <c r="D4" s="70"/>
    </row>
    <row r="5" spans="1:4" ht="15" customHeight="1" x14ac:dyDescent="0.3">
      <c r="A5" s="70" t="s">
        <v>57</v>
      </c>
      <c r="B5" s="70"/>
      <c r="C5" s="70"/>
      <c r="D5" s="70"/>
    </row>
    <row r="6" spans="1:4" ht="8.25" customHeight="1" x14ac:dyDescent="0.25">
      <c r="A6" s="73" t="s">
        <v>81</v>
      </c>
      <c r="B6" s="73"/>
      <c r="C6" s="73"/>
      <c r="D6" s="73"/>
    </row>
    <row r="7" spans="1:4" ht="15" customHeight="1" x14ac:dyDescent="0.25">
      <c r="A7" s="73"/>
      <c r="B7" s="73"/>
      <c r="C7" s="73"/>
      <c r="D7" s="73"/>
    </row>
    <row r="8" spans="1:4" ht="23.25" customHeight="1" x14ac:dyDescent="0.25">
      <c r="A8" s="73"/>
      <c r="B8" s="73"/>
      <c r="C8" s="73"/>
      <c r="D8" s="73"/>
    </row>
    <row r="9" spans="1:4" ht="15" customHeight="1" x14ac:dyDescent="0.25">
      <c r="A9" s="72" t="s">
        <v>126</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row r="14" spans="1:4" s="5" customFormat="1" ht="12" customHeight="1" x14ac:dyDescent="0.2">
      <c r="A14" s="4" t="s">
        <v>6</v>
      </c>
      <c r="B14" s="34">
        <v>100000</v>
      </c>
      <c r="C14" s="34">
        <f>9248+7803</f>
        <v>17051</v>
      </c>
      <c r="D14" s="34">
        <f t="shared" ref="D14:D19" si="0">+B14+C14</f>
        <v>117051</v>
      </c>
    </row>
    <row r="15" spans="1:4" s="5" customFormat="1" ht="12" customHeight="1" x14ac:dyDescent="0.2">
      <c r="A15" s="4" t="s">
        <v>7</v>
      </c>
      <c r="B15" s="34">
        <v>100000</v>
      </c>
      <c r="C15" s="34">
        <f>7803+6358</f>
        <v>14161</v>
      </c>
      <c r="D15" s="34">
        <f t="shared" si="0"/>
        <v>114161</v>
      </c>
    </row>
    <row r="16" spans="1:4" s="5" customFormat="1" ht="12" customHeight="1" x14ac:dyDescent="0.2">
      <c r="A16" s="4" t="s">
        <v>8</v>
      </c>
      <c r="B16" s="34">
        <v>105000</v>
      </c>
      <c r="C16" s="34">
        <f>6358+4840.75</f>
        <v>11198.75</v>
      </c>
      <c r="D16" s="34">
        <f t="shared" si="0"/>
        <v>116198.75</v>
      </c>
    </row>
    <row r="17" spans="1:4" s="5" customFormat="1" ht="12" customHeight="1" x14ac:dyDescent="0.2">
      <c r="A17" s="4" t="s">
        <v>9</v>
      </c>
      <c r="B17" s="34">
        <v>110000</v>
      </c>
      <c r="C17" s="34">
        <f>4840.75+3251.25</f>
        <v>8092</v>
      </c>
      <c r="D17" s="34">
        <f t="shared" si="0"/>
        <v>118092</v>
      </c>
    </row>
    <row r="18" spans="1:4" s="5" customFormat="1" ht="12" customHeight="1" x14ac:dyDescent="0.2">
      <c r="A18" s="4" t="s">
        <v>10</v>
      </c>
      <c r="B18" s="34">
        <v>110000</v>
      </c>
      <c r="C18" s="34">
        <f>3251.25+1661.75</f>
        <v>4913</v>
      </c>
      <c r="D18" s="34">
        <f t="shared" si="0"/>
        <v>114913</v>
      </c>
    </row>
    <row r="19" spans="1:4" s="5" customFormat="1" ht="12" customHeight="1" x14ac:dyDescent="0.2">
      <c r="A19" s="4" t="s">
        <v>11</v>
      </c>
      <c r="B19" s="34">
        <v>115000</v>
      </c>
      <c r="C19" s="34">
        <v>1661.75</v>
      </c>
      <c r="D19" s="34">
        <f t="shared" si="0"/>
        <v>116661.75</v>
      </c>
    </row>
    <row r="20" spans="1:4" s="5" customFormat="1" ht="12" customHeight="1" x14ac:dyDescent="0.25">
      <c r="A20" s="6" t="s">
        <v>4</v>
      </c>
      <c r="B20" s="35">
        <f>SUM(B13:B19)</f>
        <v>640000</v>
      </c>
      <c r="C20" s="35">
        <f>SUM(C13:C19)</f>
        <v>57077.5</v>
      </c>
      <c r="D20" s="35">
        <f>SUM(D13:D19)</f>
        <v>697077.5</v>
      </c>
    </row>
    <row r="21" spans="1:4" ht="11.25" customHeight="1" x14ac:dyDescent="0.25">
      <c r="A21" s="7"/>
      <c r="C21" s="19"/>
      <c r="D21" s="19"/>
    </row>
    <row r="22" spans="1:4" ht="11.25" customHeight="1" x14ac:dyDescent="0.25">
      <c r="A22" s="7"/>
      <c r="B22" s="19"/>
      <c r="C22" s="19"/>
      <c r="D22" s="19"/>
    </row>
    <row r="23" spans="1:4" ht="11.25" customHeight="1" x14ac:dyDescent="0.25">
      <c r="A23" s="7"/>
      <c r="B23" s="19"/>
      <c r="C23" s="19"/>
      <c r="D23" s="19"/>
    </row>
    <row r="24" spans="1:4" ht="11.25" customHeight="1" x14ac:dyDescent="0.25">
      <c r="A24" s="7"/>
      <c r="B24" s="19"/>
      <c r="C24" s="19"/>
      <c r="D24" s="19"/>
    </row>
    <row r="25" spans="1:4" ht="11.25" customHeight="1" x14ac:dyDescent="0.25">
      <c r="A25" s="7"/>
      <c r="B25" s="19"/>
      <c r="C25" s="19"/>
      <c r="D25" s="19"/>
    </row>
    <row r="26" spans="1:4" ht="11.25" customHeight="1" x14ac:dyDescent="0.25">
      <c r="A26" s="7"/>
      <c r="B26" s="19"/>
      <c r="C26" s="19"/>
      <c r="D26" s="19"/>
    </row>
    <row r="27" spans="1:4" ht="11.25" customHeight="1" x14ac:dyDescent="0.25">
      <c r="A27" s="7"/>
      <c r="B27" s="19"/>
      <c r="C27" s="19"/>
      <c r="D27" s="19"/>
    </row>
    <row r="28" spans="1:4" x14ac:dyDescent="0.25">
      <c r="A28" s="7"/>
      <c r="B28" s="36"/>
      <c r="C28" s="36"/>
      <c r="D28" s="36"/>
    </row>
    <row r="29" spans="1:4" x14ac:dyDescent="0.25">
      <c r="A29" s="7"/>
      <c r="B29" s="36"/>
      <c r="C29" s="36"/>
      <c r="D29" s="36"/>
    </row>
    <row r="30" spans="1:4" x14ac:dyDescent="0.25">
      <c r="A30" s="7"/>
      <c r="B30" s="36"/>
      <c r="C30" s="36"/>
      <c r="D30" s="36"/>
    </row>
    <row r="31" spans="1:4" x14ac:dyDescent="0.25">
      <c r="A31" s="7"/>
      <c r="B31" s="36"/>
      <c r="C31" s="36"/>
      <c r="D31" s="36"/>
    </row>
    <row r="32" spans="1:4" x14ac:dyDescent="0.25">
      <c r="A32" s="7"/>
      <c r="B32" s="36"/>
      <c r="C32" s="36"/>
      <c r="D32" s="36"/>
    </row>
    <row r="33" spans="1:4" x14ac:dyDescent="0.25">
      <c r="A33" s="7"/>
      <c r="B33" s="36"/>
      <c r="C33" s="36"/>
      <c r="D33" s="36"/>
    </row>
    <row r="34" spans="1:4" x14ac:dyDescent="0.25">
      <c r="A34" s="7"/>
      <c r="B34" s="36"/>
      <c r="C34" s="36"/>
      <c r="D34" s="36"/>
    </row>
    <row r="35" spans="1:4" x14ac:dyDescent="0.25">
      <c r="A35" s="7"/>
      <c r="B35" s="36"/>
      <c r="C35" s="36"/>
      <c r="D35" s="36"/>
    </row>
    <row r="36" spans="1:4" x14ac:dyDescent="0.25">
      <c r="A36" s="7"/>
      <c r="B36" s="36"/>
      <c r="C36" s="36"/>
      <c r="D36" s="36"/>
    </row>
    <row r="37" spans="1:4" x14ac:dyDescent="0.25">
      <c r="A37" s="7"/>
      <c r="B37" s="36"/>
      <c r="C37" s="36"/>
      <c r="D37" s="36"/>
    </row>
    <row r="38" spans="1:4" x14ac:dyDescent="0.25">
      <c r="B38" s="36"/>
      <c r="C38" s="36"/>
      <c r="D38" s="36"/>
    </row>
    <row r="39" spans="1:4" x14ac:dyDescent="0.25">
      <c r="B39" s="36"/>
      <c r="C39" s="36"/>
      <c r="D39" s="36"/>
    </row>
    <row r="40" spans="1:4" x14ac:dyDescent="0.25">
      <c r="B40" s="36"/>
      <c r="C40" s="36"/>
      <c r="D40" s="36"/>
    </row>
    <row r="41" spans="1:4" x14ac:dyDescent="0.25">
      <c r="B41" s="36"/>
      <c r="C41" s="36"/>
      <c r="D41" s="36"/>
    </row>
    <row r="42" spans="1:4" x14ac:dyDescent="0.25">
      <c r="B42" s="36"/>
      <c r="C42" s="36"/>
      <c r="D42" s="36"/>
    </row>
    <row r="43" spans="1:4" x14ac:dyDescent="0.25">
      <c r="B43" s="36"/>
      <c r="C43" s="36"/>
      <c r="D43" s="36"/>
    </row>
    <row r="44" spans="1:4" x14ac:dyDescent="0.25">
      <c r="B44" s="36"/>
      <c r="C44" s="36"/>
      <c r="D44" s="36"/>
    </row>
    <row r="45" spans="1:4" x14ac:dyDescent="0.25">
      <c r="B45" s="36"/>
      <c r="C45" s="36"/>
      <c r="D45" s="36"/>
    </row>
    <row r="46" spans="1:4" x14ac:dyDescent="0.25">
      <c r="B46" s="36"/>
      <c r="C46" s="36"/>
      <c r="D46" s="36"/>
    </row>
    <row r="47" spans="1:4" x14ac:dyDescent="0.25">
      <c r="B47" s="36"/>
      <c r="C47" s="36"/>
      <c r="D47" s="36"/>
    </row>
  </sheetData>
  <mergeCells count="8">
    <mergeCell ref="A11:D11"/>
    <mergeCell ref="A1:D1"/>
    <mergeCell ref="A2:D2"/>
    <mergeCell ref="A3:D3"/>
    <mergeCell ref="A4:D4"/>
    <mergeCell ref="A5:D5"/>
    <mergeCell ref="A6:D8"/>
    <mergeCell ref="A9:D9"/>
  </mergeCells>
  <pageMargins left="0.75" right="0.4" top="0.75" bottom="0.75" header="0.5" footer="0.5"/>
  <pageSetup scale="90" firstPageNumber="0"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43386-3AE9-48E7-9FF5-BF35B51D6027}">
  <sheetPr>
    <tabColor rgb="FF00B0F0"/>
  </sheetPr>
  <dimension ref="A1:D58"/>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75</v>
      </c>
      <c r="B4" s="70"/>
      <c r="C4" s="70"/>
      <c r="D4" s="70"/>
    </row>
    <row r="5" spans="1:4" ht="15" customHeight="1" x14ac:dyDescent="0.3">
      <c r="A5" s="70" t="s">
        <v>76</v>
      </c>
      <c r="B5" s="70"/>
      <c r="C5" s="70"/>
      <c r="D5" s="70"/>
    </row>
    <row r="6" spans="1:4" ht="8.25" customHeight="1" x14ac:dyDescent="0.25">
      <c r="A6" s="73" t="s">
        <v>80</v>
      </c>
      <c r="B6" s="73"/>
      <c r="C6" s="73"/>
      <c r="D6" s="73"/>
    </row>
    <row r="7" spans="1:4" ht="15" customHeight="1" x14ac:dyDescent="0.25">
      <c r="A7" s="73"/>
      <c r="B7" s="73"/>
      <c r="C7" s="73"/>
      <c r="D7" s="73"/>
    </row>
    <row r="8" spans="1:4" ht="23.25" customHeight="1" x14ac:dyDescent="0.25">
      <c r="A8" s="73"/>
      <c r="B8" s="73"/>
      <c r="C8" s="73"/>
      <c r="D8" s="73"/>
    </row>
    <row r="9" spans="1:4" ht="15" customHeight="1" x14ac:dyDescent="0.25">
      <c r="A9" s="72" t="s">
        <v>125</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row r="14" spans="1:4" s="5" customFormat="1" ht="12" customHeight="1" x14ac:dyDescent="0.2">
      <c r="A14" s="4" t="s">
        <v>6</v>
      </c>
      <c r="B14" s="34">
        <v>190000</v>
      </c>
      <c r="C14" s="34">
        <f>94956.25+90206.25</f>
        <v>185162.5</v>
      </c>
      <c r="D14" s="34">
        <f t="shared" ref="D14:D29" si="0">+B14+C14</f>
        <v>375162.5</v>
      </c>
    </row>
    <row r="15" spans="1:4" s="5" customFormat="1" ht="12" customHeight="1" x14ac:dyDescent="0.2">
      <c r="A15" s="4" t="s">
        <v>7</v>
      </c>
      <c r="B15" s="34">
        <v>200000</v>
      </c>
      <c r="C15" s="34">
        <f>90206.25+85206.25</f>
        <v>175412.5</v>
      </c>
      <c r="D15" s="34">
        <f t="shared" si="0"/>
        <v>375412.5</v>
      </c>
    </row>
    <row r="16" spans="1:4" s="5" customFormat="1" ht="12" customHeight="1" x14ac:dyDescent="0.2">
      <c r="A16" s="4" t="s">
        <v>8</v>
      </c>
      <c r="B16" s="34">
        <v>210000</v>
      </c>
      <c r="C16" s="34">
        <f>85206.25+79956.25</f>
        <v>165162.5</v>
      </c>
      <c r="D16" s="34">
        <f t="shared" si="0"/>
        <v>375162.5</v>
      </c>
    </row>
    <row r="17" spans="1:4" s="5" customFormat="1" ht="12" customHeight="1" x14ac:dyDescent="0.2">
      <c r="A17" s="4" t="s">
        <v>9</v>
      </c>
      <c r="B17" s="34">
        <v>225000</v>
      </c>
      <c r="C17" s="34">
        <f>79956.25+74331.25</f>
        <v>154287.5</v>
      </c>
      <c r="D17" s="34">
        <f t="shared" si="0"/>
        <v>379287.5</v>
      </c>
    </row>
    <row r="18" spans="1:4" s="5" customFormat="1" ht="12" customHeight="1" x14ac:dyDescent="0.2">
      <c r="A18" s="4" t="s">
        <v>10</v>
      </c>
      <c r="B18" s="34">
        <v>235000</v>
      </c>
      <c r="C18" s="34">
        <f>74331.25+68456.25</f>
        <v>142787.5</v>
      </c>
      <c r="D18" s="34">
        <f t="shared" si="0"/>
        <v>377787.5</v>
      </c>
    </row>
    <row r="19" spans="1:4" s="5" customFormat="1" ht="12" customHeight="1" x14ac:dyDescent="0.2">
      <c r="A19" s="4" t="s">
        <v>11</v>
      </c>
      <c r="B19" s="34">
        <v>245000</v>
      </c>
      <c r="C19" s="34">
        <f>68456.25+62331.25</f>
        <v>130787.5</v>
      </c>
      <c r="D19" s="34">
        <f t="shared" si="0"/>
        <v>375787.5</v>
      </c>
    </row>
    <row r="20" spans="1:4" s="5" customFormat="1" ht="12" customHeight="1" x14ac:dyDescent="0.2">
      <c r="A20" s="4" t="s">
        <v>16</v>
      </c>
      <c r="B20" s="34">
        <v>260000</v>
      </c>
      <c r="C20" s="34">
        <f>62331.25+55831.25</f>
        <v>118162.5</v>
      </c>
      <c r="D20" s="34">
        <f t="shared" si="0"/>
        <v>378162.5</v>
      </c>
    </row>
    <row r="21" spans="1:4" s="5" customFormat="1" ht="12" customHeight="1" x14ac:dyDescent="0.2">
      <c r="A21" s="4" t="s">
        <v>22</v>
      </c>
      <c r="B21" s="34">
        <v>270000</v>
      </c>
      <c r="C21" s="34">
        <f>55831.25+49081.25</f>
        <v>104912.5</v>
      </c>
      <c r="D21" s="34">
        <f t="shared" si="0"/>
        <v>374912.5</v>
      </c>
    </row>
    <row r="22" spans="1:4" s="5" customFormat="1" ht="12" customHeight="1" x14ac:dyDescent="0.2">
      <c r="A22" s="4" t="s">
        <v>23</v>
      </c>
      <c r="B22" s="34">
        <v>285000</v>
      </c>
      <c r="C22" s="34">
        <f>49081.25+43381.25</f>
        <v>92462.5</v>
      </c>
      <c r="D22" s="34">
        <f t="shared" si="0"/>
        <v>377462.5</v>
      </c>
    </row>
    <row r="23" spans="1:4" s="5" customFormat="1" ht="12" customHeight="1" x14ac:dyDescent="0.2">
      <c r="A23" s="4" t="s">
        <v>24</v>
      </c>
      <c r="B23" s="34">
        <v>295000</v>
      </c>
      <c r="C23" s="34">
        <f>43381.25+37481.25</f>
        <v>80862.5</v>
      </c>
      <c r="D23" s="34">
        <f t="shared" si="0"/>
        <v>375862.5</v>
      </c>
    </row>
    <row r="24" spans="1:4" s="5" customFormat="1" ht="12" customHeight="1" x14ac:dyDescent="0.2">
      <c r="A24" s="4" t="s">
        <v>25</v>
      </c>
      <c r="B24" s="34">
        <v>310000</v>
      </c>
      <c r="C24" s="34">
        <f>37481.25+31281.25</f>
        <v>68762.5</v>
      </c>
      <c r="D24" s="34">
        <f t="shared" si="0"/>
        <v>378762.5</v>
      </c>
    </row>
    <row r="25" spans="1:4" s="5" customFormat="1" ht="12" customHeight="1" x14ac:dyDescent="0.2">
      <c r="A25" s="4" t="s">
        <v>28</v>
      </c>
      <c r="B25" s="34">
        <v>320000</v>
      </c>
      <c r="C25" s="34">
        <f>31281.25+26481.25</f>
        <v>57762.5</v>
      </c>
      <c r="D25" s="34">
        <f t="shared" si="0"/>
        <v>377762.5</v>
      </c>
    </row>
    <row r="26" spans="1:4" s="5" customFormat="1" ht="12" customHeight="1" x14ac:dyDescent="0.2">
      <c r="A26" s="4" t="s">
        <v>29</v>
      </c>
      <c r="B26" s="34">
        <v>330000</v>
      </c>
      <c r="C26" s="34">
        <f>26481.25+21531.25</f>
        <v>48012.5</v>
      </c>
      <c r="D26" s="34">
        <f t="shared" si="0"/>
        <v>378012.5</v>
      </c>
    </row>
    <row r="27" spans="1:4" s="5" customFormat="1" ht="12" customHeight="1" x14ac:dyDescent="0.2">
      <c r="A27" s="4" t="s">
        <v>45</v>
      </c>
      <c r="B27" s="34">
        <v>340000</v>
      </c>
      <c r="C27" s="34">
        <f>21531.25+16431.25</f>
        <v>37962.5</v>
      </c>
      <c r="D27" s="34">
        <f t="shared" si="0"/>
        <v>377962.5</v>
      </c>
    </row>
    <row r="28" spans="1:4" s="5" customFormat="1" ht="12" customHeight="1" x14ac:dyDescent="0.2">
      <c r="A28" s="4" t="s">
        <v>53</v>
      </c>
      <c r="B28" s="34">
        <v>350000</v>
      </c>
      <c r="C28" s="34">
        <f>16431.25+11181.25</f>
        <v>27612.5</v>
      </c>
      <c r="D28" s="34">
        <f t="shared" si="0"/>
        <v>377612.5</v>
      </c>
    </row>
    <row r="29" spans="1:4" s="5" customFormat="1" ht="12" customHeight="1" x14ac:dyDescent="0.2">
      <c r="A29" s="4" t="s">
        <v>56</v>
      </c>
      <c r="B29" s="34">
        <v>360000</v>
      </c>
      <c r="C29" s="34">
        <f>11181.25+5781.25</f>
        <v>16962.5</v>
      </c>
      <c r="D29" s="34">
        <f t="shared" si="0"/>
        <v>376962.5</v>
      </c>
    </row>
    <row r="30" spans="1:4" s="5" customFormat="1" ht="12" customHeight="1" x14ac:dyDescent="0.2">
      <c r="A30" s="4" t="s">
        <v>79</v>
      </c>
      <c r="B30" s="34">
        <v>370000</v>
      </c>
      <c r="C30" s="34">
        <v>5781.25</v>
      </c>
      <c r="D30" s="34">
        <f t="shared" ref="D30" si="1">+B30+C30</f>
        <v>375781.25</v>
      </c>
    </row>
    <row r="31" spans="1:4" s="5" customFormat="1" ht="12" customHeight="1" x14ac:dyDescent="0.25">
      <c r="A31" s="6" t="s">
        <v>4</v>
      </c>
      <c r="B31" s="35">
        <f>SUM(B13:B30)</f>
        <v>4795000</v>
      </c>
      <c r="C31" s="35">
        <f t="shared" ref="C31:D31" si="2">SUM(C13:C30)</f>
        <v>1612856.25</v>
      </c>
      <c r="D31" s="35">
        <f t="shared" si="2"/>
        <v>6407856.25</v>
      </c>
    </row>
    <row r="32" spans="1:4" ht="11.25" customHeight="1" x14ac:dyDescent="0.25">
      <c r="A32" s="7"/>
      <c r="C32" s="19"/>
      <c r="D32" s="19"/>
    </row>
    <row r="33" spans="1:4" ht="11.25" customHeight="1" x14ac:dyDescent="0.25">
      <c r="A33" s="7"/>
      <c r="B33" s="19"/>
      <c r="C33" s="19"/>
      <c r="D33" s="19"/>
    </row>
    <row r="34" spans="1:4" ht="11.25" customHeight="1" x14ac:dyDescent="0.25">
      <c r="A34" s="7"/>
      <c r="B34" s="19"/>
      <c r="C34" s="19"/>
      <c r="D34" s="19"/>
    </row>
    <row r="35" spans="1:4" ht="11.25" customHeight="1" x14ac:dyDescent="0.25">
      <c r="A35" s="7"/>
      <c r="B35" s="19"/>
      <c r="C35" s="19"/>
      <c r="D35" s="19"/>
    </row>
    <row r="36" spans="1:4" ht="11.25" customHeight="1" x14ac:dyDescent="0.25">
      <c r="A36" s="7"/>
      <c r="B36" s="19"/>
      <c r="C36" s="19"/>
      <c r="D36" s="19"/>
    </row>
    <row r="37" spans="1:4" ht="11.25" customHeight="1" x14ac:dyDescent="0.25">
      <c r="A37" s="7"/>
      <c r="B37" s="19"/>
      <c r="C37" s="19"/>
      <c r="D37" s="19"/>
    </row>
    <row r="38" spans="1:4" ht="11.25" customHeight="1" x14ac:dyDescent="0.25">
      <c r="A38" s="7"/>
      <c r="B38" s="19"/>
      <c r="C38" s="19"/>
      <c r="D38" s="19"/>
    </row>
    <row r="39" spans="1:4" x14ac:dyDescent="0.25">
      <c r="A39" s="7"/>
      <c r="B39" s="36"/>
      <c r="C39" s="36"/>
      <c r="D39" s="36"/>
    </row>
    <row r="40" spans="1:4" x14ac:dyDescent="0.25">
      <c r="A40" s="7"/>
      <c r="B40" s="36"/>
      <c r="C40" s="36"/>
      <c r="D40" s="36"/>
    </row>
    <row r="41" spans="1:4" x14ac:dyDescent="0.25">
      <c r="A41" s="7"/>
      <c r="B41" s="36"/>
      <c r="C41" s="36"/>
      <c r="D41" s="36"/>
    </row>
    <row r="42" spans="1:4" x14ac:dyDescent="0.25">
      <c r="A42" s="7"/>
      <c r="B42" s="36"/>
      <c r="C42" s="36"/>
      <c r="D42" s="36"/>
    </row>
    <row r="43" spans="1:4" x14ac:dyDescent="0.25">
      <c r="A43" s="7"/>
      <c r="B43" s="36"/>
      <c r="C43" s="36"/>
      <c r="D43" s="36"/>
    </row>
    <row r="44" spans="1:4" x14ac:dyDescent="0.25">
      <c r="A44" s="7"/>
      <c r="B44" s="36"/>
      <c r="C44" s="36"/>
      <c r="D44" s="36"/>
    </row>
    <row r="45" spans="1:4" x14ac:dyDescent="0.25">
      <c r="A45" s="7"/>
      <c r="B45" s="36"/>
      <c r="C45" s="36"/>
      <c r="D45" s="36"/>
    </row>
    <row r="46" spans="1:4" x14ac:dyDescent="0.25">
      <c r="A46" s="7"/>
      <c r="B46" s="36"/>
      <c r="C46" s="36"/>
      <c r="D46" s="36"/>
    </row>
    <row r="47" spans="1:4" x14ac:dyDescent="0.25">
      <c r="A47" s="7"/>
      <c r="B47" s="36"/>
      <c r="C47" s="36"/>
      <c r="D47" s="36"/>
    </row>
    <row r="48" spans="1:4" x14ac:dyDescent="0.25">
      <c r="A48" s="7"/>
      <c r="B48" s="36"/>
      <c r="C48" s="36"/>
      <c r="D48" s="36"/>
    </row>
    <row r="49" spans="2:4" x14ac:dyDescent="0.25">
      <c r="B49" s="36"/>
      <c r="C49" s="36"/>
      <c r="D49" s="36"/>
    </row>
    <row r="50" spans="2:4" x14ac:dyDescent="0.25">
      <c r="B50" s="36"/>
      <c r="C50" s="36"/>
      <c r="D50" s="36"/>
    </row>
    <row r="51" spans="2:4" x14ac:dyDescent="0.25">
      <c r="B51" s="36"/>
      <c r="C51" s="36"/>
      <c r="D51" s="36"/>
    </row>
    <row r="52" spans="2:4" x14ac:dyDescent="0.25">
      <c r="B52" s="36"/>
      <c r="C52" s="36"/>
      <c r="D52" s="36"/>
    </row>
    <row r="53" spans="2:4" x14ac:dyDescent="0.25">
      <c r="B53" s="36"/>
      <c r="C53" s="36"/>
      <c r="D53" s="36"/>
    </row>
    <row r="54" spans="2:4" x14ac:dyDescent="0.25">
      <c r="B54" s="36"/>
      <c r="C54" s="36"/>
      <c r="D54" s="36"/>
    </row>
    <row r="55" spans="2:4" x14ac:dyDescent="0.25">
      <c r="B55" s="36"/>
      <c r="C55" s="36"/>
      <c r="D55" s="36"/>
    </row>
    <row r="56" spans="2:4" x14ac:dyDescent="0.25">
      <c r="B56" s="36"/>
      <c r="C56" s="36"/>
      <c r="D56" s="36"/>
    </row>
    <row r="57" spans="2:4" x14ac:dyDescent="0.25">
      <c r="B57" s="36"/>
      <c r="C57" s="36"/>
      <c r="D57" s="36"/>
    </row>
    <row r="58" spans="2:4" x14ac:dyDescent="0.25">
      <c r="B58" s="36"/>
      <c r="C58" s="36"/>
      <c r="D58" s="36"/>
    </row>
  </sheetData>
  <mergeCells count="8">
    <mergeCell ref="A11:D11"/>
    <mergeCell ref="A1:D1"/>
    <mergeCell ref="A2:D2"/>
    <mergeCell ref="A3:D3"/>
    <mergeCell ref="A4:D4"/>
    <mergeCell ref="A5:D5"/>
    <mergeCell ref="A6:D8"/>
    <mergeCell ref="A9:D9"/>
  </mergeCells>
  <pageMargins left="0.75" right="0.4" top="0.75" bottom="0.75" header="0.5" footer="0.5"/>
  <pageSetup scale="90" firstPageNumber="0" orientation="portrait"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681B8-1891-4F4F-B723-CBCAC8EA9469}">
  <sheetPr>
    <tabColor rgb="FF00B0F0"/>
  </sheetPr>
  <dimension ref="A1:M47"/>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13" ht="15" customHeight="1" x14ac:dyDescent="0.3">
      <c r="A1" s="69" t="s">
        <v>0</v>
      </c>
      <c r="B1" s="69"/>
      <c r="C1" s="69"/>
      <c r="D1" s="69"/>
    </row>
    <row r="2" spans="1:13" ht="15" customHeight="1" x14ac:dyDescent="0.3">
      <c r="A2" s="69" t="s">
        <v>141</v>
      </c>
      <c r="B2" s="69"/>
      <c r="C2" s="69"/>
      <c r="D2" s="69"/>
    </row>
    <row r="3" spans="1:13" ht="15" customHeight="1" x14ac:dyDescent="0.3">
      <c r="A3" s="70" t="s">
        <v>1</v>
      </c>
      <c r="B3" s="70"/>
      <c r="C3" s="70"/>
      <c r="D3" s="70"/>
    </row>
    <row r="4" spans="1:13" ht="15" customHeight="1" x14ac:dyDescent="0.3">
      <c r="A4" s="70" t="s">
        <v>77</v>
      </c>
      <c r="B4" s="70"/>
      <c r="C4" s="70"/>
      <c r="D4" s="70"/>
    </row>
    <row r="5" spans="1:13" ht="15" customHeight="1" x14ac:dyDescent="0.3">
      <c r="A5" s="70" t="s">
        <v>78</v>
      </c>
      <c r="B5" s="70"/>
      <c r="C5" s="70"/>
      <c r="D5" s="70"/>
    </row>
    <row r="6" spans="1:13" ht="8.25" customHeight="1" x14ac:dyDescent="0.25">
      <c r="A6" s="73" t="s">
        <v>106</v>
      </c>
      <c r="B6" s="73"/>
      <c r="C6" s="73"/>
      <c r="D6" s="73"/>
    </row>
    <row r="7" spans="1:13" ht="15" customHeight="1" x14ac:dyDescent="0.25">
      <c r="A7" s="73"/>
      <c r="B7" s="73"/>
      <c r="C7" s="73"/>
      <c r="D7" s="73"/>
    </row>
    <row r="8" spans="1:13" ht="42.75" customHeight="1" x14ac:dyDescent="0.25">
      <c r="A8" s="73"/>
      <c r="B8" s="73"/>
      <c r="C8" s="73"/>
      <c r="D8" s="73"/>
    </row>
    <row r="9" spans="1:13" ht="15" customHeight="1" x14ac:dyDescent="0.25">
      <c r="A9" s="72" t="s">
        <v>125</v>
      </c>
      <c r="B9" s="72"/>
      <c r="C9" s="72"/>
      <c r="D9" s="72"/>
    </row>
    <row r="10" spans="1:13" ht="9" customHeight="1" x14ac:dyDescent="0.25">
      <c r="A10" s="41"/>
      <c r="B10" s="41"/>
      <c r="C10" s="41"/>
      <c r="D10" s="41"/>
    </row>
    <row r="11" spans="1:13" ht="9" customHeight="1" x14ac:dyDescent="0.25">
      <c r="A11" s="68"/>
      <c r="B11" s="68"/>
      <c r="C11" s="68"/>
      <c r="D11" s="68"/>
    </row>
    <row r="12" spans="1:13" ht="12.75" customHeight="1" x14ac:dyDescent="0.25">
      <c r="A12" s="3" t="s">
        <v>47</v>
      </c>
      <c r="B12" s="39" t="s">
        <v>48</v>
      </c>
      <c r="C12" s="39" t="s">
        <v>49</v>
      </c>
      <c r="D12" s="39" t="s">
        <v>50</v>
      </c>
      <c r="I12" s="44"/>
      <c r="J12" s="44"/>
      <c r="K12" s="44"/>
      <c r="L12" s="44"/>
      <c r="M12" s="44"/>
    </row>
    <row r="13" spans="1:13" ht="8.25" customHeight="1" x14ac:dyDescent="0.25">
      <c r="I13" s="44"/>
      <c r="J13" s="44"/>
      <c r="K13" s="44"/>
      <c r="L13" s="44"/>
      <c r="M13" s="44"/>
    </row>
    <row r="14" spans="1:13" s="5" customFormat="1" ht="12" customHeight="1" x14ac:dyDescent="0.2">
      <c r="A14" s="4" t="s">
        <v>6</v>
      </c>
      <c r="B14" s="34">
        <v>300000</v>
      </c>
      <c r="C14" s="34">
        <f>42018.75+42018.75</f>
        <v>84037.5</v>
      </c>
      <c r="D14" s="34">
        <f t="shared" ref="D14:D19" si="0">+B14+C14</f>
        <v>384037.5</v>
      </c>
    </row>
    <row r="15" spans="1:13" s="5" customFormat="1" ht="12" customHeight="1" x14ac:dyDescent="0.2">
      <c r="A15" s="4" t="s">
        <v>7</v>
      </c>
      <c r="B15" s="34">
        <v>315000</v>
      </c>
      <c r="C15" s="34">
        <f>34518.75+34518.75</f>
        <v>69037.5</v>
      </c>
      <c r="D15" s="34">
        <f t="shared" si="0"/>
        <v>384037.5</v>
      </c>
    </row>
    <row r="16" spans="1:13" s="5" customFormat="1" ht="12" customHeight="1" x14ac:dyDescent="0.2">
      <c r="A16" s="4" t="s">
        <v>8</v>
      </c>
      <c r="B16" s="34">
        <v>325000</v>
      </c>
      <c r="C16" s="34">
        <f>30187.5+30187.5</f>
        <v>60375</v>
      </c>
      <c r="D16" s="34">
        <f t="shared" si="0"/>
        <v>385375</v>
      </c>
    </row>
    <row r="17" spans="1:4" s="5" customFormat="1" ht="12" customHeight="1" x14ac:dyDescent="0.2">
      <c r="A17" s="4" t="s">
        <v>9</v>
      </c>
      <c r="B17" s="34">
        <v>330000</v>
      </c>
      <c r="C17" s="34">
        <f>26125+26125</f>
        <v>52250</v>
      </c>
      <c r="D17" s="34">
        <f t="shared" si="0"/>
        <v>382250</v>
      </c>
    </row>
    <row r="18" spans="1:4" s="5" customFormat="1" ht="12" customHeight="1" x14ac:dyDescent="0.2">
      <c r="A18" s="4" t="s">
        <v>10</v>
      </c>
      <c r="B18" s="34">
        <v>350000</v>
      </c>
      <c r="C18" s="34">
        <f>17875+17875</f>
        <v>35750</v>
      </c>
      <c r="D18" s="34">
        <f t="shared" si="0"/>
        <v>385750</v>
      </c>
    </row>
    <row r="19" spans="1:4" s="5" customFormat="1" ht="12" customHeight="1" x14ac:dyDescent="0.2">
      <c r="A19" s="4" t="s">
        <v>11</v>
      </c>
      <c r="B19" s="34">
        <v>365000</v>
      </c>
      <c r="C19" s="34">
        <f>9125+9125</f>
        <v>18250</v>
      </c>
      <c r="D19" s="34">
        <f t="shared" si="0"/>
        <v>383250</v>
      </c>
    </row>
    <row r="20" spans="1:4" s="5" customFormat="1" ht="12" customHeight="1" x14ac:dyDescent="0.25">
      <c r="A20" s="6" t="s">
        <v>4</v>
      </c>
      <c r="B20" s="35">
        <f>SUM(B13:B19)</f>
        <v>1985000</v>
      </c>
      <c r="C20" s="35">
        <f>SUM(C13:C19)</f>
        <v>319700</v>
      </c>
      <c r="D20" s="35">
        <f>SUM(D13:D19)</f>
        <v>2304700</v>
      </c>
    </row>
    <row r="21" spans="1:4" ht="11.25" customHeight="1" x14ac:dyDescent="0.25">
      <c r="A21" s="7"/>
      <c r="C21" s="19"/>
      <c r="D21" s="19"/>
    </row>
    <row r="22" spans="1:4" ht="11.25" customHeight="1" x14ac:dyDescent="0.25">
      <c r="A22" s="7"/>
      <c r="B22" s="19"/>
      <c r="C22" s="19"/>
      <c r="D22" s="19"/>
    </row>
    <row r="23" spans="1:4" ht="11.25" customHeight="1" x14ac:dyDescent="0.25">
      <c r="A23" s="7"/>
      <c r="B23" s="19"/>
      <c r="C23" s="19"/>
      <c r="D23" s="19"/>
    </row>
    <row r="24" spans="1:4" ht="11.25" customHeight="1" x14ac:dyDescent="0.25">
      <c r="A24" s="7"/>
      <c r="B24" s="19"/>
      <c r="C24" s="19"/>
      <c r="D24" s="19"/>
    </row>
    <row r="25" spans="1:4" ht="11.25" customHeight="1" x14ac:dyDescent="0.25">
      <c r="A25" s="7"/>
      <c r="B25" s="19"/>
      <c r="C25" s="19"/>
      <c r="D25" s="19"/>
    </row>
    <row r="26" spans="1:4" ht="11.25" customHeight="1" x14ac:dyDescent="0.25">
      <c r="A26" s="7"/>
      <c r="B26" s="19"/>
      <c r="C26" s="19"/>
      <c r="D26" s="19"/>
    </row>
    <row r="27" spans="1:4" ht="11.25" customHeight="1" x14ac:dyDescent="0.25">
      <c r="A27" s="7"/>
      <c r="B27" s="19"/>
      <c r="C27" s="19"/>
      <c r="D27" s="19"/>
    </row>
    <row r="28" spans="1:4" x14ac:dyDescent="0.25">
      <c r="A28" s="7"/>
      <c r="B28" s="36"/>
      <c r="C28" s="36"/>
      <c r="D28" s="36"/>
    </row>
    <row r="29" spans="1:4" x14ac:dyDescent="0.25">
      <c r="A29" s="7"/>
      <c r="B29" s="36"/>
      <c r="C29" s="36"/>
      <c r="D29" s="36"/>
    </row>
    <row r="30" spans="1:4" x14ac:dyDescent="0.25">
      <c r="A30" s="7"/>
      <c r="B30" s="36"/>
      <c r="C30" s="36"/>
      <c r="D30" s="36"/>
    </row>
    <row r="31" spans="1:4" x14ac:dyDescent="0.25">
      <c r="A31" s="7"/>
      <c r="B31" s="36"/>
      <c r="C31" s="36"/>
      <c r="D31" s="36"/>
    </row>
    <row r="32" spans="1:4" x14ac:dyDescent="0.25">
      <c r="A32" s="7"/>
      <c r="B32" s="36"/>
      <c r="C32" s="36"/>
      <c r="D32" s="36"/>
    </row>
    <row r="33" spans="1:4" x14ac:dyDescent="0.25">
      <c r="A33" s="7"/>
      <c r="B33" s="36"/>
      <c r="C33" s="36"/>
      <c r="D33" s="36"/>
    </row>
    <row r="34" spans="1:4" x14ac:dyDescent="0.25">
      <c r="A34" s="7"/>
      <c r="B34" s="36"/>
      <c r="C34" s="36"/>
      <c r="D34" s="36"/>
    </row>
    <row r="35" spans="1:4" x14ac:dyDescent="0.25">
      <c r="A35" s="7"/>
      <c r="B35" s="36"/>
      <c r="C35" s="36"/>
      <c r="D35" s="36"/>
    </row>
    <row r="36" spans="1:4" x14ac:dyDescent="0.25">
      <c r="A36" s="7"/>
      <c r="B36" s="36"/>
      <c r="C36" s="36"/>
      <c r="D36" s="36"/>
    </row>
    <row r="37" spans="1:4" x14ac:dyDescent="0.25">
      <c r="A37" s="7"/>
      <c r="B37" s="36"/>
      <c r="C37" s="36"/>
      <c r="D37" s="36"/>
    </row>
    <row r="38" spans="1:4" x14ac:dyDescent="0.25">
      <c r="B38" s="36"/>
      <c r="C38" s="36"/>
      <c r="D38" s="36"/>
    </row>
    <row r="39" spans="1:4" x14ac:dyDescent="0.25">
      <c r="B39" s="36"/>
      <c r="C39" s="36"/>
      <c r="D39" s="36"/>
    </row>
    <row r="40" spans="1:4" x14ac:dyDescent="0.25">
      <c r="B40" s="36"/>
      <c r="C40" s="36"/>
      <c r="D40" s="36"/>
    </row>
    <row r="41" spans="1:4" x14ac:dyDescent="0.25">
      <c r="B41" s="36"/>
      <c r="C41" s="36"/>
      <c r="D41" s="36"/>
    </row>
    <row r="42" spans="1:4" x14ac:dyDescent="0.25">
      <c r="B42" s="36"/>
      <c r="C42" s="36"/>
      <c r="D42" s="36"/>
    </row>
    <row r="43" spans="1:4" x14ac:dyDescent="0.25">
      <c r="B43" s="36"/>
      <c r="C43" s="36"/>
      <c r="D43" s="36"/>
    </row>
    <row r="44" spans="1:4" x14ac:dyDescent="0.25">
      <c r="B44" s="36"/>
      <c r="C44" s="36"/>
      <c r="D44" s="36"/>
    </row>
    <row r="45" spans="1:4" x14ac:dyDescent="0.25">
      <c r="B45" s="36"/>
      <c r="C45" s="36"/>
      <c r="D45" s="36"/>
    </row>
    <row r="46" spans="1:4" x14ac:dyDescent="0.25">
      <c r="B46" s="36"/>
      <c r="C46" s="36"/>
      <c r="D46" s="36"/>
    </row>
    <row r="47" spans="1:4" x14ac:dyDescent="0.25">
      <c r="B47" s="36"/>
      <c r="C47" s="36"/>
      <c r="D47" s="36"/>
    </row>
  </sheetData>
  <mergeCells count="8">
    <mergeCell ref="A11:D11"/>
    <mergeCell ref="A1:D1"/>
    <mergeCell ref="A2:D2"/>
    <mergeCell ref="A3:D3"/>
    <mergeCell ref="A4:D4"/>
    <mergeCell ref="A5:D5"/>
    <mergeCell ref="A6:D8"/>
    <mergeCell ref="A9:D9"/>
  </mergeCells>
  <pageMargins left="0.75" right="0.4" top="0.75" bottom="0.75" header="0.5" footer="0.5"/>
  <pageSetup scale="90" firstPageNumber="0"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9CD95-9C10-4279-8E70-B35C5210B6D0}">
  <sheetPr>
    <tabColor rgb="FF00B0F0"/>
  </sheetPr>
  <dimension ref="A1:D40"/>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93</v>
      </c>
      <c r="B4" s="70"/>
      <c r="C4" s="70"/>
      <c r="D4" s="70"/>
    </row>
    <row r="5" spans="1:4" ht="15" customHeight="1" x14ac:dyDescent="0.3">
      <c r="A5" s="70" t="s">
        <v>84</v>
      </c>
      <c r="B5" s="70"/>
      <c r="C5" s="70"/>
      <c r="D5" s="70"/>
    </row>
    <row r="6" spans="1:4" ht="8.25" customHeight="1" x14ac:dyDescent="0.25">
      <c r="A6" s="73" t="s">
        <v>85</v>
      </c>
      <c r="B6" s="73"/>
      <c r="C6" s="73"/>
      <c r="D6" s="73"/>
    </row>
    <row r="7" spans="1:4" ht="15" customHeight="1" x14ac:dyDescent="0.25">
      <c r="A7" s="73"/>
      <c r="B7" s="73"/>
      <c r="C7" s="73"/>
      <c r="D7" s="73"/>
    </row>
    <row r="8" spans="1:4" ht="23.25" customHeight="1" x14ac:dyDescent="0.25">
      <c r="A8" s="73"/>
      <c r="B8" s="73"/>
      <c r="C8" s="73"/>
      <c r="D8" s="73"/>
    </row>
    <row r="9" spans="1:4" ht="15" customHeight="1" x14ac:dyDescent="0.25">
      <c r="A9" s="72" t="s">
        <v>126</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row r="14" spans="1:4" s="5" customFormat="1" ht="12" customHeight="1" x14ac:dyDescent="0.2">
      <c r="A14" s="4" t="s">
        <v>6</v>
      </c>
      <c r="B14" s="34">
        <v>235000</v>
      </c>
      <c r="C14" s="34">
        <f>14563.5+12848</f>
        <v>27411.5</v>
      </c>
      <c r="D14" s="34">
        <f t="shared" ref="D14:D21" si="0">+B14+C14</f>
        <v>262411.5</v>
      </c>
    </row>
    <row r="15" spans="1:4" s="5" customFormat="1" ht="12" customHeight="1" x14ac:dyDescent="0.2">
      <c r="A15" s="4" t="s">
        <v>7</v>
      </c>
      <c r="B15" s="34">
        <v>240000</v>
      </c>
      <c r="C15" s="34">
        <f>12848+11096</f>
        <v>23944</v>
      </c>
      <c r="D15" s="34">
        <f t="shared" si="0"/>
        <v>263944</v>
      </c>
    </row>
    <row r="16" spans="1:4" s="5" customFormat="1" ht="12" customHeight="1" x14ac:dyDescent="0.2">
      <c r="A16" s="4" t="s">
        <v>8</v>
      </c>
      <c r="B16" s="34">
        <v>245000</v>
      </c>
      <c r="C16" s="34">
        <f>11096+9307.5</f>
        <v>20403.5</v>
      </c>
      <c r="D16" s="34">
        <f t="shared" si="0"/>
        <v>265403.5</v>
      </c>
    </row>
    <row r="17" spans="1:4" s="5" customFormat="1" ht="12" customHeight="1" x14ac:dyDescent="0.2">
      <c r="A17" s="4" t="s">
        <v>9</v>
      </c>
      <c r="B17" s="34">
        <v>250000</v>
      </c>
      <c r="C17" s="34">
        <f>9307.5+7482.5</f>
        <v>16790</v>
      </c>
      <c r="D17" s="34">
        <f t="shared" si="0"/>
        <v>266790</v>
      </c>
    </row>
    <row r="18" spans="1:4" s="5" customFormat="1" ht="12" customHeight="1" x14ac:dyDescent="0.2">
      <c r="A18" s="4" t="s">
        <v>10</v>
      </c>
      <c r="B18" s="34">
        <v>250000</v>
      </c>
      <c r="C18" s="34">
        <f>7482.5+5657.5</f>
        <v>13140</v>
      </c>
      <c r="D18" s="34">
        <f t="shared" si="0"/>
        <v>263140</v>
      </c>
    </row>
    <row r="19" spans="1:4" s="5" customFormat="1" ht="12" customHeight="1" x14ac:dyDescent="0.2">
      <c r="A19" s="4" t="s">
        <v>11</v>
      </c>
      <c r="B19" s="34">
        <v>255000</v>
      </c>
      <c r="C19" s="34">
        <f>5657.5+3796</f>
        <v>9453.5</v>
      </c>
      <c r="D19" s="34">
        <f t="shared" si="0"/>
        <v>264453.5</v>
      </c>
    </row>
    <row r="20" spans="1:4" s="5" customFormat="1" ht="12" customHeight="1" x14ac:dyDescent="0.2">
      <c r="A20" s="4" t="s">
        <v>16</v>
      </c>
      <c r="B20" s="34">
        <v>260000</v>
      </c>
      <c r="C20" s="34">
        <f>3796+1898</f>
        <v>5694</v>
      </c>
      <c r="D20" s="34">
        <f t="shared" si="0"/>
        <v>265694</v>
      </c>
    </row>
    <row r="21" spans="1:4" s="5" customFormat="1" ht="12" customHeight="1" x14ac:dyDescent="0.2">
      <c r="A21" s="4" t="s">
        <v>22</v>
      </c>
      <c r="B21" s="34">
        <v>260000</v>
      </c>
      <c r="C21" s="34">
        <v>1898</v>
      </c>
      <c r="D21" s="34">
        <f t="shared" si="0"/>
        <v>261898</v>
      </c>
    </row>
    <row r="22" spans="1:4" x14ac:dyDescent="0.25">
      <c r="A22" s="6" t="s">
        <v>4</v>
      </c>
      <c r="B22" s="35">
        <f>SUM(B14:B21)</f>
        <v>1995000</v>
      </c>
      <c r="C22" s="35">
        <f>SUM(C14:C21)</f>
        <v>118734.5</v>
      </c>
      <c r="D22" s="35">
        <f>SUM(D14:D21)</f>
        <v>2113734.5</v>
      </c>
    </row>
    <row r="23" spans="1:4" x14ac:dyDescent="0.25">
      <c r="A23" s="7"/>
      <c r="B23" s="36"/>
      <c r="C23" s="36"/>
      <c r="D23" s="36"/>
    </row>
    <row r="24" spans="1:4" x14ac:dyDescent="0.25">
      <c r="A24" s="7"/>
      <c r="B24" s="36"/>
      <c r="C24" s="36"/>
      <c r="D24" s="36"/>
    </row>
    <row r="25" spans="1:4" x14ac:dyDescent="0.25">
      <c r="A25" s="7"/>
      <c r="B25" s="36"/>
      <c r="C25" s="36"/>
      <c r="D25" s="36"/>
    </row>
    <row r="26" spans="1:4" x14ac:dyDescent="0.25">
      <c r="A26" s="7"/>
      <c r="B26" s="36"/>
      <c r="C26" s="36"/>
      <c r="D26" s="36"/>
    </row>
    <row r="27" spans="1:4" x14ac:dyDescent="0.25">
      <c r="A27" s="7"/>
      <c r="B27" s="36"/>
      <c r="C27" s="36"/>
      <c r="D27" s="36"/>
    </row>
    <row r="28" spans="1:4" x14ac:dyDescent="0.25">
      <c r="A28" s="7"/>
      <c r="B28" s="36"/>
      <c r="C28" s="36"/>
      <c r="D28" s="36"/>
    </row>
    <row r="29" spans="1:4" x14ac:dyDescent="0.25">
      <c r="A29" s="7"/>
      <c r="B29" s="36"/>
      <c r="C29" s="36"/>
      <c r="D29" s="36"/>
    </row>
    <row r="30" spans="1:4" x14ac:dyDescent="0.25">
      <c r="A30" s="7"/>
      <c r="B30" s="36"/>
      <c r="C30" s="36"/>
      <c r="D30" s="36"/>
    </row>
    <row r="31" spans="1:4" x14ac:dyDescent="0.25">
      <c r="B31" s="36"/>
      <c r="C31" s="36"/>
      <c r="D31" s="36"/>
    </row>
    <row r="32" spans="1:4" x14ac:dyDescent="0.25">
      <c r="B32" s="36"/>
      <c r="C32" s="36"/>
      <c r="D32" s="36"/>
    </row>
    <row r="33" spans="2:4" x14ac:dyDescent="0.25">
      <c r="B33" s="36"/>
      <c r="C33" s="36"/>
      <c r="D33" s="36"/>
    </row>
    <row r="34" spans="2:4" x14ac:dyDescent="0.25">
      <c r="B34" s="36"/>
      <c r="C34" s="36"/>
      <c r="D34" s="36"/>
    </row>
    <row r="35" spans="2:4" x14ac:dyDescent="0.25">
      <c r="B35" s="36"/>
      <c r="C35" s="36"/>
      <c r="D35" s="36"/>
    </row>
    <row r="36" spans="2:4" x14ac:dyDescent="0.25">
      <c r="B36" s="36"/>
      <c r="C36" s="36"/>
      <c r="D36" s="36"/>
    </row>
    <row r="37" spans="2:4" x14ac:dyDescent="0.25">
      <c r="B37" s="36"/>
      <c r="C37" s="36"/>
      <c r="D37" s="36"/>
    </row>
    <row r="38" spans="2:4" x14ac:dyDescent="0.25">
      <c r="B38" s="36"/>
      <c r="C38" s="36"/>
      <c r="D38" s="36"/>
    </row>
    <row r="39" spans="2:4" x14ac:dyDescent="0.25">
      <c r="B39" s="36"/>
      <c r="C39" s="36"/>
      <c r="D39" s="36"/>
    </row>
    <row r="40" spans="2:4" x14ac:dyDescent="0.25">
      <c r="B40" s="36"/>
      <c r="C40" s="36"/>
      <c r="D40" s="36"/>
    </row>
  </sheetData>
  <mergeCells count="8">
    <mergeCell ref="A11:D11"/>
    <mergeCell ref="A1:D1"/>
    <mergeCell ref="A2:D2"/>
    <mergeCell ref="A3:D3"/>
    <mergeCell ref="A4:D4"/>
    <mergeCell ref="A5:D5"/>
    <mergeCell ref="A6:D8"/>
    <mergeCell ref="A9:D9"/>
  </mergeCells>
  <phoneticPr fontId="11" type="noConversion"/>
  <pageMargins left="0.75" right="0.4" top="0.75" bottom="0.75" header="0.5" footer="0.5"/>
  <pageSetup scale="90" firstPageNumber="0"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A0A58-2902-4D58-A5EC-C5D0AF00DC58}">
  <sheetPr>
    <tabColor rgb="FF00B0F0"/>
  </sheetPr>
  <dimension ref="A1:D39"/>
  <sheetViews>
    <sheetView zoomScaleNormal="100"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82</v>
      </c>
      <c r="B4" s="70"/>
      <c r="C4" s="70"/>
      <c r="D4" s="70"/>
    </row>
    <row r="5" spans="1:4" ht="15" customHeight="1" x14ac:dyDescent="0.3">
      <c r="A5" s="70" t="s">
        <v>105</v>
      </c>
      <c r="B5" s="70"/>
      <c r="C5" s="70"/>
      <c r="D5" s="70"/>
    </row>
    <row r="6" spans="1:4" ht="8.25" customHeight="1" x14ac:dyDescent="0.25">
      <c r="A6" s="73" t="s">
        <v>83</v>
      </c>
      <c r="B6" s="73"/>
      <c r="C6" s="73"/>
      <c r="D6" s="73"/>
    </row>
    <row r="7" spans="1:4" ht="15" customHeight="1" x14ac:dyDescent="0.25">
      <c r="A7" s="73"/>
      <c r="B7" s="73"/>
      <c r="C7" s="73"/>
      <c r="D7" s="73"/>
    </row>
    <row r="8" spans="1:4" ht="23.25" customHeight="1" x14ac:dyDescent="0.25">
      <c r="A8" s="73"/>
      <c r="B8" s="73"/>
      <c r="C8" s="73"/>
      <c r="D8" s="73"/>
    </row>
    <row r="9" spans="1:4" ht="15" customHeight="1" x14ac:dyDescent="0.25">
      <c r="A9" s="72" t="s">
        <v>125</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row r="14" spans="1:4" s="5" customFormat="1" ht="12" customHeight="1" x14ac:dyDescent="0.2">
      <c r="A14" s="4" t="s">
        <v>6</v>
      </c>
      <c r="B14" s="34">
        <v>435000</v>
      </c>
      <c r="C14" s="34">
        <f>20702.5+17875</f>
        <v>38577.5</v>
      </c>
      <c r="D14" s="34">
        <f t="shared" ref="D14:D20" si="0">+B14+C14</f>
        <v>473577.5</v>
      </c>
    </row>
    <row r="15" spans="1:4" s="5" customFormat="1" ht="12" customHeight="1" x14ac:dyDescent="0.2">
      <c r="A15" s="4" t="s">
        <v>7</v>
      </c>
      <c r="B15" s="34">
        <v>445000</v>
      </c>
      <c r="C15" s="34">
        <f>17875+14982.5</f>
        <v>32857.5</v>
      </c>
      <c r="D15" s="34">
        <f t="shared" si="0"/>
        <v>477857.5</v>
      </c>
    </row>
    <row r="16" spans="1:4" s="5" customFormat="1" ht="12" customHeight="1" x14ac:dyDescent="0.2">
      <c r="A16" s="4" t="s">
        <v>8</v>
      </c>
      <c r="B16" s="34">
        <v>445000</v>
      </c>
      <c r="C16" s="34">
        <f>14982.5+12090</f>
        <v>27072.5</v>
      </c>
      <c r="D16" s="34">
        <f t="shared" si="0"/>
        <v>472072.5</v>
      </c>
    </row>
    <row r="17" spans="1:4" s="5" customFormat="1" ht="12" customHeight="1" x14ac:dyDescent="0.2">
      <c r="A17" s="4" t="s">
        <v>9</v>
      </c>
      <c r="B17" s="34">
        <v>455000</v>
      </c>
      <c r="C17" s="34">
        <f>12090+9132.5</f>
        <v>21222.5</v>
      </c>
      <c r="D17" s="34">
        <f t="shared" si="0"/>
        <v>476222.5</v>
      </c>
    </row>
    <row r="18" spans="1:4" s="5" customFormat="1" ht="12" customHeight="1" x14ac:dyDescent="0.2">
      <c r="A18" s="4" t="s">
        <v>10</v>
      </c>
      <c r="B18" s="34">
        <v>460000</v>
      </c>
      <c r="C18" s="34">
        <f>9132.5+6142.5</f>
        <v>15275</v>
      </c>
      <c r="D18" s="34">
        <f t="shared" si="0"/>
        <v>475275</v>
      </c>
    </row>
    <row r="19" spans="1:4" s="5" customFormat="1" ht="12" customHeight="1" x14ac:dyDescent="0.2">
      <c r="A19" s="4" t="s">
        <v>11</v>
      </c>
      <c r="B19" s="34">
        <v>470000</v>
      </c>
      <c r="C19" s="34">
        <f>6142.5+3087.5</f>
        <v>9230</v>
      </c>
      <c r="D19" s="34">
        <f t="shared" si="0"/>
        <v>479230</v>
      </c>
    </row>
    <row r="20" spans="1:4" s="5" customFormat="1" ht="12" customHeight="1" x14ac:dyDescent="0.2">
      <c r="A20" s="4" t="s">
        <v>16</v>
      </c>
      <c r="B20" s="34">
        <v>475000</v>
      </c>
      <c r="C20" s="34">
        <v>3087.5</v>
      </c>
      <c r="D20" s="34">
        <f t="shared" si="0"/>
        <v>478087.5</v>
      </c>
    </row>
    <row r="21" spans="1:4" x14ac:dyDescent="0.25">
      <c r="A21" s="6" t="s">
        <v>4</v>
      </c>
      <c r="B21" s="35">
        <f>SUM(B14:B20)</f>
        <v>3185000</v>
      </c>
      <c r="C21" s="35">
        <f>SUM(C14:C20)</f>
        <v>147322.5</v>
      </c>
      <c r="D21" s="35">
        <f>SUM(D14:D20)</f>
        <v>3332322.5</v>
      </c>
    </row>
    <row r="22" spans="1:4" x14ac:dyDescent="0.25">
      <c r="A22" s="7"/>
      <c r="B22" s="36"/>
      <c r="C22" s="36"/>
      <c r="D22" s="36"/>
    </row>
    <row r="23" spans="1:4" x14ac:dyDescent="0.25">
      <c r="A23" s="7"/>
      <c r="B23" s="36"/>
      <c r="C23" s="36"/>
      <c r="D23" s="36"/>
    </row>
    <row r="24" spans="1:4" x14ac:dyDescent="0.25">
      <c r="A24" s="7"/>
      <c r="B24" s="36"/>
      <c r="C24" s="36"/>
      <c r="D24" s="36"/>
    </row>
    <row r="25" spans="1:4" x14ac:dyDescent="0.25">
      <c r="A25" s="7"/>
      <c r="B25" s="36"/>
      <c r="C25" s="36"/>
      <c r="D25" s="36"/>
    </row>
    <row r="26" spans="1:4" x14ac:dyDescent="0.25">
      <c r="A26" s="7"/>
      <c r="B26" s="36"/>
      <c r="C26" s="36"/>
      <c r="D26" s="36"/>
    </row>
    <row r="27" spans="1:4" x14ac:dyDescent="0.25">
      <c r="A27" s="7"/>
      <c r="B27" s="36"/>
      <c r="C27" s="36"/>
      <c r="D27" s="36"/>
    </row>
    <row r="28" spans="1:4" x14ac:dyDescent="0.25">
      <c r="A28" s="7"/>
      <c r="B28" s="36"/>
      <c r="C28" s="36"/>
      <c r="D28" s="36"/>
    </row>
    <row r="29" spans="1:4" x14ac:dyDescent="0.25">
      <c r="A29" s="7"/>
      <c r="B29" s="36"/>
      <c r="C29" s="36"/>
      <c r="D29" s="36"/>
    </row>
    <row r="30" spans="1:4" x14ac:dyDescent="0.25">
      <c r="B30" s="36"/>
      <c r="C30" s="36"/>
      <c r="D30" s="36"/>
    </row>
    <row r="31" spans="1:4" x14ac:dyDescent="0.25">
      <c r="B31" s="36"/>
      <c r="C31" s="36"/>
      <c r="D31" s="36"/>
    </row>
    <row r="32" spans="1:4" x14ac:dyDescent="0.25">
      <c r="B32" s="36"/>
      <c r="C32" s="36"/>
      <c r="D32" s="36"/>
    </row>
    <row r="33" spans="2:4" x14ac:dyDescent="0.25">
      <c r="B33" s="36"/>
      <c r="C33" s="36"/>
      <c r="D33" s="36"/>
    </row>
    <row r="34" spans="2:4" x14ac:dyDescent="0.25">
      <c r="B34" s="36"/>
      <c r="C34" s="36"/>
      <c r="D34" s="36"/>
    </row>
    <row r="35" spans="2:4" x14ac:dyDescent="0.25">
      <c r="B35" s="36"/>
      <c r="C35" s="36"/>
      <c r="D35" s="36"/>
    </row>
    <row r="36" spans="2:4" x14ac:dyDescent="0.25">
      <c r="B36" s="36"/>
      <c r="C36" s="36"/>
      <c r="D36" s="36"/>
    </row>
    <row r="37" spans="2:4" x14ac:dyDescent="0.25">
      <c r="B37" s="36"/>
      <c r="C37" s="36"/>
      <c r="D37" s="36"/>
    </row>
    <row r="38" spans="2:4" x14ac:dyDescent="0.25">
      <c r="B38" s="36"/>
      <c r="C38" s="36"/>
      <c r="D38" s="36"/>
    </row>
    <row r="39" spans="2:4" x14ac:dyDescent="0.25">
      <c r="B39" s="36"/>
      <c r="C39" s="36"/>
      <c r="D39" s="36"/>
    </row>
  </sheetData>
  <mergeCells count="8">
    <mergeCell ref="A11:D11"/>
    <mergeCell ref="A1:D1"/>
    <mergeCell ref="A2:D2"/>
    <mergeCell ref="A3:D3"/>
    <mergeCell ref="A4:D4"/>
    <mergeCell ref="A5:D5"/>
    <mergeCell ref="A6:D8"/>
    <mergeCell ref="A9:D9"/>
  </mergeCells>
  <phoneticPr fontId="11" type="noConversion"/>
  <pageMargins left="0.75" right="0.4" top="0.75" bottom="0.75" header="0.5" footer="0.5"/>
  <pageSetup scale="90" firstPageNumber="0"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7E0F2-B809-41BF-99FD-683D4A7B58B3}">
  <sheetPr>
    <tabColor rgb="FF00B0F0"/>
  </sheetPr>
  <dimension ref="A1:H50"/>
  <sheetViews>
    <sheetView workbookViewId="0">
      <selection activeCell="F20" sqref="F20"/>
    </sheetView>
  </sheetViews>
  <sheetFormatPr defaultRowHeight="13.2" x14ac:dyDescent="0.25"/>
  <cols>
    <col min="1" max="1" width="25" style="28" customWidth="1"/>
    <col min="2" max="3" width="18.88671875" style="28" hidden="1" customWidth="1"/>
    <col min="4" max="4" width="25" style="28" customWidth="1"/>
    <col min="5" max="5" width="20" style="28" hidden="1" customWidth="1"/>
    <col min="6" max="6" width="15" style="28" hidden="1" customWidth="1"/>
    <col min="7" max="8" width="25" style="28" customWidth="1"/>
    <col min="9" max="258" width="9.109375" style="1"/>
    <col min="259" max="263" width="18.5546875" style="1" customWidth="1"/>
    <col min="264" max="514" width="9.109375" style="1"/>
    <col min="515" max="519" width="18.5546875" style="1" customWidth="1"/>
    <col min="520" max="770" width="9.109375" style="1"/>
    <col min="771" max="775" width="18.5546875" style="1" customWidth="1"/>
    <col min="776" max="1026" width="9.109375" style="1"/>
    <col min="1027" max="1031" width="18.5546875" style="1" customWidth="1"/>
    <col min="1032" max="1282" width="9.109375" style="1"/>
    <col min="1283" max="1287" width="18.5546875" style="1" customWidth="1"/>
    <col min="1288" max="1538" width="9.109375" style="1"/>
    <col min="1539" max="1543" width="18.5546875" style="1" customWidth="1"/>
    <col min="1544" max="1794" width="9.109375" style="1"/>
    <col min="1795" max="1799" width="18.5546875" style="1" customWidth="1"/>
    <col min="1800" max="2050" width="9.109375" style="1"/>
    <col min="2051" max="2055" width="18.5546875" style="1" customWidth="1"/>
    <col min="2056" max="2306" width="9.109375" style="1"/>
    <col min="2307" max="2311" width="18.5546875" style="1" customWidth="1"/>
    <col min="2312" max="2562" width="9.109375" style="1"/>
    <col min="2563" max="2567" width="18.5546875" style="1" customWidth="1"/>
    <col min="2568" max="2818" width="9.109375" style="1"/>
    <col min="2819" max="2823" width="18.5546875" style="1" customWidth="1"/>
    <col min="2824" max="3074" width="9.109375" style="1"/>
    <col min="3075" max="3079" width="18.5546875" style="1" customWidth="1"/>
    <col min="3080" max="3330" width="9.109375" style="1"/>
    <col min="3331" max="3335" width="18.5546875" style="1" customWidth="1"/>
    <col min="3336" max="3586" width="9.109375" style="1"/>
    <col min="3587" max="3591" width="18.5546875" style="1" customWidth="1"/>
    <col min="3592" max="3842" width="9.109375" style="1"/>
    <col min="3843" max="3847" width="18.5546875" style="1" customWidth="1"/>
    <col min="3848" max="4098" width="9.109375" style="1"/>
    <col min="4099" max="4103" width="18.5546875" style="1" customWidth="1"/>
    <col min="4104" max="4354" width="9.109375" style="1"/>
    <col min="4355" max="4359" width="18.5546875" style="1" customWidth="1"/>
    <col min="4360" max="4610" width="9.109375" style="1"/>
    <col min="4611" max="4615" width="18.5546875" style="1" customWidth="1"/>
    <col min="4616" max="4866" width="9.109375" style="1"/>
    <col min="4867" max="4871" width="18.5546875" style="1" customWidth="1"/>
    <col min="4872" max="5122" width="9.109375" style="1"/>
    <col min="5123" max="5127" width="18.5546875" style="1" customWidth="1"/>
    <col min="5128" max="5378" width="9.109375" style="1"/>
    <col min="5379" max="5383" width="18.5546875" style="1" customWidth="1"/>
    <col min="5384" max="5634" width="9.109375" style="1"/>
    <col min="5635" max="5639" width="18.5546875" style="1" customWidth="1"/>
    <col min="5640" max="5890" width="9.109375" style="1"/>
    <col min="5891" max="5895" width="18.5546875" style="1" customWidth="1"/>
    <col min="5896" max="6146" width="9.109375" style="1"/>
    <col min="6147" max="6151" width="18.5546875" style="1" customWidth="1"/>
    <col min="6152" max="6402" width="9.109375" style="1"/>
    <col min="6403" max="6407" width="18.5546875" style="1" customWidth="1"/>
    <col min="6408" max="6658" width="9.109375" style="1"/>
    <col min="6659" max="6663" width="18.5546875" style="1" customWidth="1"/>
    <col min="6664" max="6914" width="9.109375" style="1"/>
    <col min="6915" max="6919" width="18.5546875" style="1" customWidth="1"/>
    <col min="6920" max="7170" width="9.109375" style="1"/>
    <col min="7171" max="7175" width="18.5546875" style="1" customWidth="1"/>
    <col min="7176" max="7426" width="9.109375" style="1"/>
    <col min="7427" max="7431" width="18.5546875" style="1" customWidth="1"/>
    <col min="7432" max="7682" width="9.109375" style="1"/>
    <col min="7683" max="7687" width="18.5546875" style="1" customWidth="1"/>
    <col min="7688" max="7938" width="9.109375" style="1"/>
    <col min="7939" max="7943" width="18.5546875" style="1" customWidth="1"/>
    <col min="7944" max="8194" width="9.109375" style="1"/>
    <col min="8195" max="8199" width="18.5546875" style="1" customWidth="1"/>
    <col min="8200" max="8450" width="9.109375" style="1"/>
    <col min="8451" max="8455" width="18.5546875" style="1" customWidth="1"/>
    <col min="8456" max="8706" width="9.109375" style="1"/>
    <col min="8707" max="8711" width="18.5546875" style="1" customWidth="1"/>
    <col min="8712" max="8962" width="9.109375" style="1"/>
    <col min="8963" max="8967" width="18.5546875" style="1" customWidth="1"/>
    <col min="8968" max="9218" width="9.109375" style="1"/>
    <col min="9219" max="9223" width="18.5546875" style="1" customWidth="1"/>
    <col min="9224" max="9474" width="9.109375" style="1"/>
    <col min="9475" max="9479" width="18.5546875" style="1" customWidth="1"/>
    <col min="9480" max="9730" width="9.109375" style="1"/>
    <col min="9731" max="9735" width="18.5546875" style="1" customWidth="1"/>
    <col min="9736" max="9986" width="9.109375" style="1"/>
    <col min="9987" max="9991" width="18.5546875" style="1" customWidth="1"/>
    <col min="9992" max="10242" width="9.109375" style="1"/>
    <col min="10243" max="10247" width="18.5546875" style="1" customWidth="1"/>
    <col min="10248" max="10498" width="9.109375" style="1"/>
    <col min="10499" max="10503" width="18.5546875" style="1" customWidth="1"/>
    <col min="10504" max="10754" width="9.109375" style="1"/>
    <col min="10755" max="10759" width="18.5546875" style="1" customWidth="1"/>
    <col min="10760" max="11010" width="9.109375" style="1"/>
    <col min="11011" max="11015" width="18.5546875" style="1" customWidth="1"/>
    <col min="11016" max="11266" width="9.109375" style="1"/>
    <col min="11267" max="11271" width="18.5546875" style="1" customWidth="1"/>
    <col min="11272" max="11522" width="9.109375" style="1"/>
    <col min="11523" max="11527" width="18.5546875" style="1" customWidth="1"/>
    <col min="11528" max="11778" width="9.109375" style="1"/>
    <col min="11779" max="11783" width="18.5546875" style="1" customWidth="1"/>
    <col min="11784" max="12034" width="9.109375" style="1"/>
    <col min="12035" max="12039" width="18.5546875" style="1" customWidth="1"/>
    <col min="12040" max="12290" width="9.109375" style="1"/>
    <col min="12291" max="12295" width="18.5546875" style="1" customWidth="1"/>
    <col min="12296" max="12546" width="9.109375" style="1"/>
    <col min="12547" max="12551" width="18.5546875" style="1" customWidth="1"/>
    <col min="12552" max="12802" width="9.109375" style="1"/>
    <col min="12803" max="12807" width="18.5546875" style="1" customWidth="1"/>
    <col min="12808" max="13058" width="9.109375" style="1"/>
    <col min="13059" max="13063" width="18.5546875" style="1" customWidth="1"/>
    <col min="13064" max="13314" width="9.109375" style="1"/>
    <col min="13315" max="13319" width="18.5546875" style="1" customWidth="1"/>
    <col min="13320" max="13570" width="9.109375" style="1"/>
    <col min="13571" max="13575" width="18.5546875" style="1" customWidth="1"/>
    <col min="13576" max="13826" width="9.109375" style="1"/>
    <col min="13827" max="13831" width="18.5546875" style="1" customWidth="1"/>
    <col min="13832" max="14082" width="9.109375" style="1"/>
    <col min="14083" max="14087" width="18.5546875" style="1" customWidth="1"/>
    <col min="14088" max="14338" width="9.109375" style="1"/>
    <col min="14339" max="14343" width="18.5546875" style="1" customWidth="1"/>
    <col min="14344" max="14594" width="9.109375" style="1"/>
    <col min="14595" max="14599" width="18.5546875" style="1" customWidth="1"/>
    <col min="14600" max="14850" width="9.109375" style="1"/>
    <col min="14851" max="14855" width="18.5546875" style="1" customWidth="1"/>
    <col min="14856" max="15106" width="9.109375" style="1"/>
    <col min="15107" max="15111" width="18.5546875" style="1" customWidth="1"/>
    <col min="15112" max="15362" width="9.109375" style="1"/>
    <col min="15363" max="15367" width="18.5546875" style="1" customWidth="1"/>
    <col min="15368" max="15618" width="9.109375" style="1"/>
    <col min="15619" max="15623" width="18.5546875" style="1" customWidth="1"/>
    <col min="15624" max="15874" width="9.109375" style="1"/>
    <col min="15875" max="15879" width="18.5546875" style="1" customWidth="1"/>
    <col min="15880" max="16130" width="9.109375" style="1"/>
    <col min="16131" max="16135" width="18.5546875" style="1" customWidth="1"/>
    <col min="16136" max="16384" width="9.109375" style="1"/>
  </cols>
  <sheetData>
    <row r="1" spans="1:8" ht="15" customHeight="1" x14ac:dyDescent="0.3">
      <c r="A1" s="69" t="s">
        <v>0</v>
      </c>
      <c r="B1" s="69"/>
      <c r="C1" s="69"/>
      <c r="D1" s="69"/>
      <c r="E1" s="69"/>
      <c r="F1" s="69"/>
      <c r="G1" s="69"/>
      <c r="H1" s="69"/>
    </row>
    <row r="2" spans="1:8" ht="15" customHeight="1" x14ac:dyDescent="0.3">
      <c r="A2" s="69" t="s">
        <v>141</v>
      </c>
      <c r="B2" s="69"/>
      <c r="C2" s="69"/>
      <c r="D2" s="69"/>
      <c r="E2" s="69"/>
      <c r="F2" s="69"/>
      <c r="G2" s="69"/>
      <c r="H2" s="69"/>
    </row>
    <row r="3" spans="1:8" ht="15" customHeight="1" x14ac:dyDescent="0.3">
      <c r="A3" s="70" t="s">
        <v>1</v>
      </c>
      <c r="B3" s="70"/>
      <c r="C3" s="70"/>
      <c r="D3" s="70"/>
      <c r="E3" s="70"/>
      <c r="F3" s="70"/>
      <c r="G3" s="70"/>
      <c r="H3" s="70"/>
    </row>
    <row r="4" spans="1:8" ht="15" customHeight="1" x14ac:dyDescent="0.3">
      <c r="A4" s="70" t="s">
        <v>98</v>
      </c>
      <c r="B4" s="70"/>
      <c r="C4" s="70"/>
      <c r="D4" s="70"/>
      <c r="E4" s="70"/>
      <c r="F4" s="70"/>
      <c r="G4" s="70"/>
      <c r="H4" s="70"/>
    </row>
    <row r="5" spans="1:8" ht="15" customHeight="1" x14ac:dyDescent="0.3">
      <c r="A5" s="70" t="s">
        <v>102</v>
      </c>
      <c r="B5" s="70"/>
      <c r="C5" s="70"/>
      <c r="D5" s="70"/>
      <c r="E5" s="70"/>
      <c r="F5" s="70"/>
      <c r="G5" s="70"/>
      <c r="H5" s="70"/>
    </row>
    <row r="6" spans="1:8" ht="8.25" customHeight="1" x14ac:dyDescent="0.25">
      <c r="A6" s="73" t="s">
        <v>87</v>
      </c>
      <c r="B6" s="73"/>
      <c r="C6" s="73"/>
      <c r="D6" s="73"/>
      <c r="E6" s="73"/>
      <c r="F6" s="73"/>
      <c r="G6" s="73"/>
      <c r="H6" s="73"/>
    </row>
    <row r="7" spans="1:8" ht="15" customHeight="1" x14ac:dyDescent="0.25">
      <c r="A7" s="73"/>
      <c r="B7" s="73"/>
      <c r="C7" s="73"/>
      <c r="D7" s="73"/>
      <c r="E7" s="73"/>
      <c r="F7" s="73"/>
      <c r="G7" s="73"/>
      <c r="H7" s="73"/>
    </row>
    <row r="8" spans="1:8" ht="23.25" customHeight="1" x14ac:dyDescent="0.25">
      <c r="A8" s="73"/>
      <c r="B8" s="73"/>
      <c r="C8" s="73"/>
      <c r="D8" s="73"/>
      <c r="E8" s="73"/>
      <c r="F8" s="73"/>
      <c r="G8" s="73"/>
      <c r="H8" s="73"/>
    </row>
    <row r="9" spans="1:8" ht="15" customHeight="1" x14ac:dyDescent="0.25">
      <c r="A9" s="72" t="s">
        <v>130</v>
      </c>
      <c r="B9" s="72"/>
      <c r="C9" s="72"/>
      <c r="D9" s="72"/>
      <c r="E9" s="72"/>
      <c r="F9" s="72"/>
      <c r="G9" s="72"/>
      <c r="H9" s="72"/>
    </row>
    <row r="10" spans="1:8" ht="9" customHeight="1" x14ac:dyDescent="0.25">
      <c r="A10" s="41"/>
      <c r="B10" s="41"/>
      <c r="C10" s="41"/>
      <c r="D10" s="41"/>
      <c r="E10" s="41"/>
      <c r="F10" s="41"/>
      <c r="G10" s="41"/>
      <c r="H10" s="41"/>
    </row>
    <row r="11" spans="1:8" ht="9" customHeight="1" x14ac:dyDescent="0.25">
      <c r="A11" s="68"/>
      <c r="B11" s="68"/>
      <c r="C11" s="68"/>
      <c r="D11" s="68"/>
      <c r="E11" s="68"/>
      <c r="F11" s="68"/>
      <c r="G11" s="68"/>
      <c r="H11" s="68"/>
    </row>
    <row r="12" spans="1:8" x14ac:dyDescent="0.25">
      <c r="A12" s="3" t="s">
        <v>47</v>
      </c>
      <c r="B12" s="59" t="s">
        <v>133</v>
      </c>
      <c r="C12" s="59" t="s">
        <v>132</v>
      </c>
      <c r="D12" s="39" t="s">
        <v>48</v>
      </c>
      <c r="E12" s="59" t="s">
        <v>134</v>
      </c>
      <c r="F12" s="59" t="s">
        <v>135</v>
      </c>
      <c r="G12" s="39" t="s">
        <v>49</v>
      </c>
      <c r="H12" s="39" t="s">
        <v>50</v>
      </c>
    </row>
    <row r="13" spans="1:8" ht="8.25" customHeight="1" x14ac:dyDescent="0.25">
      <c r="B13" s="60"/>
      <c r="C13" s="60"/>
      <c r="E13" s="60"/>
      <c r="F13" s="60"/>
    </row>
    <row r="14" spans="1:8" s="5" customFormat="1" ht="12" customHeight="1" x14ac:dyDescent="0.2">
      <c r="A14" s="4" t="s">
        <v>6</v>
      </c>
      <c r="B14" s="61">
        <v>230000</v>
      </c>
      <c r="C14" s="61">
        <v>145000</v>
      </c>
      <c r="D14" s="34">
        <v>375000</v>
      </c>
      <c r="E14" s="61">
        <v>211300</v>
      </c>
      <c r="F14" s="61">
        <v>132275</v>
      </c>
      <c r="G14" s="34">
        <v>343575</v>
      </c>
      <c r="H14" s="34">
        <f t="shared" ref="H14:H31" si="0">+D14+G14</f>
        <v>718575</v>
      </c>
    </row>
    <row r="15" spans="1:8" s="5" customFormat="1" ht="12" customHeight="1" x14ac:dyDescent="0.2">
      <c r="A15" s="4" t="s">
        <v>7</v>
      </c>
      <c r="B15" s="61">
        <v>240000</v>
      </c>
      <c r="C15" s="61">
        <v>150000</v>
      </c>
      <c r="D15" s="34">
        <v>390000</v>
      </c>
      <c r="E15" s="61">
        <v>199550</v>
      </c>
      <c r="F15" s="61">
        <v>124900</v>
      </c>
      <c r="G15" s="34">
        <v>324450</v>
      </c>
      <c r="H15" s="34">
        <f t="shared" si="0"/>
        <v>714450</v>
      </c>
    </row>
    <row r="16" spans="1:8" s="5" customFormat="1" ht="12" customHeight="1" x14ac:dyDescent="0.2">
      <c r="A16" s="4" t="s">
        <v>8</v>
      </c>
      <c r="B16" s="61">
        <v>250000</v>
      </c>
      <c r="C16" s="61">
        <v>155000</v>
      </c>
      <c r="D16" s="34">
        <v>405000</v>
      </c>
      <c r="E16" s="61">
        <v>191050</v>
      </c>
      <c r="F16" s="61">
        <v>119600</v>
      </c>
      <c r="G16" s="34">
        <v>310650</v>
      </c>
      <c r="H16" s="34">
        <f t="shared" si="0"/>
        <v>715650</v>
      </c>
    </row>
    <row r="17" spans="1:8" s="5" customFormat="1" ht="12" customHeight="1" x14ac:dyDescent="0.2">
      <c r="A17" s="4" t="s">
        <v>9</v>
      </c>
      <c r="B17" s="61">
        <v>255000</v>
      </c>
      <c r="C17" s="61">
        <v>160000</v>
      </c>
      <c r="D17" s="34">
        <v>415000</v>
      </c>
      <c r="E17" s="61">
        <v>186000</v>
      </c>
      <c r="F17" s="61">
        <v>116450</v>
      </c>
      <c r="G17" s="34">
        <v>302450</v>
      </c>
      <c r="H17" s="34">
        <f t="shared" si="0"/>
        <v>717450</v>
      </c>
    </row>
    <row r="18" spans="1:8" s="5" customFormat="1" ht="12" customHeight="1" x14ac:dyDescent="0.2">
      <c r="A18" s="4" t="s">
        <v>10</v>
      </c>
      <c r="B18" s="61">
        <v>265000</v>
      </c>
      <c r="C18" s="61">
        <v>165000</v>
      </c>
      <c r="D18" s="34">
        <v>430000</v>
      </c>
      <c r="E18" s="61">
        <v>176825</v>
      </c>
      <c r="F18" s="61">
        <v>110725</v>
      </c>
      <c r="G18" s="34">
        <v>287550</v>
      </c>
      <c r="H18" s="34">
        <f t="shared" si="0"/>
        <v>717550</v>
      </c>
    </row>
    <row r="19" spans="1:8" s="5" customFormat="1" ht="12" customHeight="1" x14ac:dyDescent="0.2">
      <c r="A19" s="4" t="s">
        <v>11</v>
      </c>
      <c r="B19" s="61">
        <v>275000</v>
      </c>
      <c r="C19" s="61">
        <v>175000</v>
      </c>
      <c r="D19" s="34">
        <v>450000</v>
      </c>
      <c r="E19" s="61">
        <v>163325</v>
      </c>
      <c r="F19" s="61">
        <v>102225</v>
      </c>
      <c r="G19" s="34">
        <v>265550</v>
      </c>
      <c r="H19" s="34">
        <f t="shared" si="0"/>
        <v>715550</v>
      </c>
    </row>
    <row r="20" spans="1:8" s="5" customFormat="1" ht="12" customHeight="1" x14ac:dyDescent="0.2">
      <c r="A20" s="4" t="s">
        <v>16</v>
      </c>
      <c r="B20" s="61">
        <v>290000</v>
      </c>
      <c r="C20" s="61">
        <v>180000</v>
      </c>
      <c r="D20" s="34">
        <v>470000</v>
      </c>
      <c r="E20" s="61">
        <v>149200</v>
      </c>
      <c r="F20" s="61">
        <v>93350</v>
      </c>
      <c r="G20" s="34">
        <v>242550</v>
      </c>
      <c r="H20" s="34">
        <f t="shared" si="0"/>
        <v>712550</v>
      </c>
    </row>
    <row r="21" spans="1:8" s="5" customFormat="1" ht="12" customHeight="1" x14ac:dyDescent="0.2">
      <c r="A21" s="4" t="s">
        <v>22</v>
      </c>
      <c r="B21" s="61">
        <v>305000</v>
      </c>
      <c r="C21" s="61">
        <v>190000</v>
      </c>
      <c r="D21" s="34">
        <v>495000</v>
      </c>
      <c r="E21" s="61">
        <v>135850</v>
      </c>
      <c r="F21" s="61">
        <v>85050</v>
      </c>
      <c r="G21" s="34">
        <v>220900</v>
      </c>
      <c r="H21" s="34">
        <f t="shared" si="0"/>
        <v>715900</v>
      </c>
    </row>
    <row r="22" spans="1:8" s="5" customFormat="1" ht="12" customHeight="1" x14ac:dyDescent="0.2">
      <c r="A22" s="4" t="s">
        <v>23</v>
      </c>
      <c r="B22" s="61">
        <v>315000</v>
      </c>
      <c r="C22" s="61">
        <v>200000</v>
      </c>
      <c r="D22" s="34">
        <v>515000</v>
      </c>
      <c r="E22" s="61">
        <v>123450</v>
      </c>
      <c r="F22" s="61">
        <v>77250</v>
      </c>
      <c r="G22" s="34">
        <v>200700</v>
      </c>
      <c r="H22" s="34">
        <f t="shared" si="0"/>
        <v>715700</v>
      </c>
    </row>
    <row r="23" spans="1:8" s="5" customFormat="1" ht="12" customHeight="1" x14ac:dyDescent="0.2">
      <c r="A23" s="4" t="s">
        <v>24</v>
      </c>
      <c r="B23" s="61">
        <v>330000</v>
      </c>
      <c r="C23" s="61">
        <v>205000</v>
      </c>
      <c r="D23" s="34">
        <v>535000</v>
      </c>
      <c r="E23" s="61">
        <v>110550</v>
      </c>
      <c r="F23" s="61">
        <v>69150</v>
      </c>
      <c r="G23" s="34">
        <v>179700</v>
      </c>
      <c r="H23" s="34">
        <f t="shared" si="0"/>
        <v>714700</v>
      </c>
    </row>
    <row r="24" spans="1:8" s="5" customFormat="1" ht="12" customHeight="1" x14ac:dyDescent="0.2">
      <c r="A24" s="4" t="s">
        <v>25</v>
      </c>
      <c r="B24" s="61">
        <v>340000</v>
      </c>
      <c r="C24" s="61">
        <v>215000</v>
      </c>
      <c r="D24" s="34">
        <v>555000</v>
      </c>
      <c r="E24" s="61">
        <v>97150</v>
      </c>
      <c r="F24" s="61">
        <v>60750</v>
      </c>
      <c r="G24" s="34">
        <v>157900</v>
      </c>
      <c r="H24" s="34">
        <f t="shared" si="0"/>
        <v>712900</v>
      </c>
    </row>
    <row r="25" spans="1:8" s="5" customFormat="1" ht="12" customHeight="1" x14ac:dyDescent="0.2">
      <c r="A25" s="4" t="s">
        <v>28</v>
      </c>
      <c r="B25" s="61">
        <v>355000</v>
      </c>
      <c r="C25" s="61">
        <v>225000</v>
      </c>
      <c r="D25" s="34">
        <v>580000</v>
      </c>
      <c r="E25" s="61">
        <v>83250</v>
      </c>
      <c r="F25" s="61">
        <v>51950</v>
      </c>
      <c r="G25" s="34">
        <v>135200</v>
      </c>
      <c r="H25" s="34">
        <f t="shared" si="0"/>
        <v>715200</v>
      </c>
    </row>
    <row r="26" spans="1:8" s="5" customFormat="1" ht="12" customHeight="1" x14ac:dyDescent="0.2">
      <c r="A26" s="4" t="s">
        <v>29</v>
      </c>
      <c r="B26" s="61">
        <v>370000</v>
      </c>
      <c r="C26" s="61">
        <v>230000</v>
      </c>
      <c r="D26" s="34">
        <v>600000</v>
      </c>
      <c r="E26" s="61">
        <v>68750</v>
      </c>
      <c r="F26" s="61">
        <v>42850</v>
      </c>
      <c r="G26" s="34">
        <v>111600</v>
      </c>
      <c r="H26" s="34">
        <f t="shared" si="0"/>
        <v>711600</v>
      </c>
    </row>
    <row r="27" spans="1:8" s="5" customFormat="1" ht="12" customHeight="1" x14ac:dyDescent="0.2">
      <c r="A27" s="4" t="s">
        <v>45</v>
      </c>
      <c r="B27" s="61">
        <v>385000</v>
      </c>
      <c r="C27" s="61">
        <v>240000</v>
      </c>
      <c r="D27" s="34">
        <v>625000</v>
      </c>
      <c r="E27" s="61">
        <v>55575</v>
      </c>
      <c r="F27" s="61">
        <v>34650</v>
      </c>
      <c r="G27" s="34">
        <v>90225</v>
      </c>
      <c r="H27" s="34">
        <f t="shared" si="0"/>
        <v>715225</v>
      </c>
    </row>
    <row r="28" spans="1:8" s="5" customFormat="1" ht="12" customHeight="1" x14ac:dyDescent="0.2">
      <c r="A28" s="4" t="s">
        <v>53</v>
      </c>
      <c r="B28" s="61">
        <v>395000</v>
      </c>
      <c r="C28" s="61">
        <v>245000</v>
      </c>
      <c r="D28" s="34">
        <v>640000</v>
      </c>
      <c r="E28" s="61">
        <v>43875</v>
      </c>
      <c r="F28" s="61">
        <v>27375</v>
      </c>
      <c r="G28" s="34">
        <v>71250</v>
      </c>
      <c r="H28" s="34">
        <f t="shared" si="0"/>
        <v>711250</v>
      </c>
    </row>
    <row r="29" spans="1:8" s="5" customFormat="1" ht="12" customHeight="1" x14ac:dyDescent="0.2">
      <c r="A29" s="4" t="s">
        <v>56</v>
      </c>
      <c r="B29" s="61">
        <v>410000</v>
      </c>
      <c r="C29" s="61">
        <v>255000</v>
      </c>
      <c r="D29" s="34">
        <v>665000</v>
      </c>
      <c r="E29" s="61">
        <v>31800</v>
      </c>
      <c r="F29" s="61">
        <v>19875</v>
      </c>
      <c r="G29" s="34">
        <v>51675</v>
      </c>
      <c r="H29" s="34">
        <f t="shared" si="0"/>
        <v>716675</v>
      </c>
    </row>
    <row r="30" spans="1:8" s="5" customFormat="1" ht="12" customHeight="1" x14ac:dyDescent="0.2">
      <c r="A30" s="4" t="s">
        <v>79</v>
      </c>
      <c r="B30" s="61">
        <v>420000</v>
      </c>
      <c r="C30" s="61">
        <v>265000</v>
      </c>
      <c r="D30" s="34">
        <v>685000</v>
      </c>
      <c r="E30" s="61">
        <v>19350</v>
      </c>
      <c r="F30" s="61">
        <v>12075</v>
      </c>
      <c r="G30" s="34">
        <v>31425</v>
      </c>
      <c r="H30" s="34">
        <f t="shared" si="0"/>
        <v>716425</v>
      </c>
    </row>
    <row r="31" spans="1:8" s="5" customFormat="1" ht="12" customHeight="1" x14ac:dyDescent="0.2">
      <c r="A31" s="4" t="s">
        <v>86</v>
      </c>
      <c r="B31" s="61">
        <v>435000</v>
      </c>
      <c r="C31" s="61">
        <v>270000</v>
      </c>
      <c r="D31" s="34">
        <v>705000</v>
      </c>
      <c r="E31" s="61">
        <v>6525</v>
      </c>
      <c r="F31" s="61">
        <v>4050</v>
      </c>
      <c r="G31" s="34">
        <v>10575</v>
      </c>
      <c r="H31" s="34">
        <f t="shared" si="0"/>
        <v>715575</v>
      </c>
    </row>
    <row r="32" spans="1:8" x14ac:dyDescent="0.25">
      <c r="A32" s="6" t="s">
        <v>4</v>
      </c>
      <c r="B32" s="65">
        <f t="shared" ref="B32:C32" si="1">SUM(B14:B31)</f>
        <v>5865000</v>
      </c>
      <c r="C32" s="65">
        <f t="shared" si="1"/>
        <v>3670000</v>
      </c>
      <c r="D32" s="35">
        <f>SUM(D14:D31)</f>
        <v>9535000</v>
      </c>
      <c r="E32" s="65">
        <f t="shared" ref="E32:F32" si="2">SUM(E14:E31)</f>
        <v>2053375</v>
      </c>
      <c r="F32" s="65">
        <f t="shared" si="2"/>
        <v>1284550</v>
      </c>
      <c r="G32" s="35">
        <f>SUM(G14:G31)</f>
        <v>3337925</v>
      </c>
      <c r="H32" s="35">
        <f>SUM(H14:H31)</f>
        <v>12872925</v>
      </c>
    </row>
    <row r="33" spans="1:8" x14ac:dyDescent="0.25">
      <c r="A33" s="7"/>
      <c r="B33" s="7"/>
      <c r="C33" s="7"/>
      <c r="D33" s="36"/>
      <c r="E33" s="36"/>
      <c r="F33" s="36"/>
      <c r="G33" s="36"/>
      <c r="H33" s="36"/>
    </row>
    <row r="34" spans="1:8" x14ac:dyDescent="0.25">
      <c r="A34" s="7"/>
      <c r="B34" s="7"/>
      <c r="C34" s="7"/>
      <c r="D34" s="36"/>
      <c r="E34" s="36"/>
      <c r="F34" s="36"/>
      <c r="G34" s="36"/>
      <c r="H34" s="36"/>
    </row>
    <row r="35" spans="1:8" x14ac:dyDescent="0.25">
      <c r="A35" s="7"/>
      <c r="B35" s="7"/>
      <c r="C35" s="7"/>
      <c r="D35" s="36"/>
      <c r="E35" s="36"/>
      <c r="F35" s="36"/>
      <c r="G35" s="36"/>
      <c r="H35" s="36"/>
    </row>
    <row r="36" spans="1:8" x14ac:dyDescent="0.25">
      <c r="A36" s="7"/>
      <c r="B36" s="7"/>
      <c r="C36" s="7"/>
      <c r="D36" s="36"/>
      <c r="E36" s="36"/>
      <c r="F36" s="36"/>
      <c r="G36" s="36"/>
      <c r="H36" s="36"/>
    </row>
    <row r="37" spans="1:8" x14ac:dyDescent="0.25">
      <c r="A37" s="7"/>
      <c r="B37" s="7"/>
      <c r="C37" s="7"/>
      <c r="D37" s="36"/>
      <c r="E37" s="36"/>
      <c r="F37" s="36"/>
      <c r="G37" s="36"/>
      <c r="H37" s="36"/>
    </row>
    <row r="38" spans="1:8" x14ac:dyDescent="0.25">
      <c r="A38" s="7"/>
      <c r="B38" s="7"/>
      <c r="C38" s="7"/>
      <c r="D38" s="36"/>
      <c r="E38" s="36"/>
      <c r="F38" s="36"/>
      <c r="G38" s="36"/>
      <c r="H38" s="36"/>
    </row>
    <row r="39" spans="1:8" x14ac:dyDescent="0.25">
      <c r="A39" s="7"/>
      <c r="B39" s="7"/>
      <c r="C39" s="7"/>
      <c r="D39" s="36"/>
      <c r="E39" s="36"/>
      <c r="F39" s="36"/>
      <c r="G39" s="36"/>
      <c r="H39" s="36"/>
    </row>
    <row r="40" spans="1:8" x14ac:dyDescent="0.25">
      <c r="A40" s="7"/>
      <c r="B40" s="7"/>
      <c r="C40" s="7"/>
      <c r="D40" s="36"/>
      <c r="E40" s="36"/>
      <c r="F40" s="36"/>
      <c r="G40" s="36"/>
      <c r="H40" s="36"/>
    </row>
    <row r="41" spans="1:8" x14ac:dyDescent="0.25">
      <c r="D41" s="36"/>
      <c r="E41" s="36"/>
      <c r="F41" s="36"/>
      <c r="G41" s="36"/>
      <c r="H41" s="36"/>
    </row>
    <row r="42" spans="1:8" x14ac:dyDescent="0.25">
      <c r="D42" s="36"/>
      <c r="E42" s="36"/>
      <c r="F42" s="36"/>
      <c r="G42" s="36"/>
      <c r="H42" s="36"/>
    </row>
    <row r="43" spans="1:8" x14ac:dyDescent="0.25">
      <c r="D43" s="36"/>
      <c r="E43" s="36"/>
      <c r="F43" s="36"/>
      <c r="G43" s="36"/>
      <c r="H43" s="36"/>
    </row>
    <row r="44" spans="1:8" x14ac:dyDescent="0.25">
      <c r="D44" s="36"/>
      <c r="E44" s="36"/>
      <c r="F44" s="36"/>
      <c r="G44" s="36"/>
      <c r="H44" s="36"/>
    </row>
    <row r="45" spans="1:8" x14ac:dyDescent="0.25">
      <c r="D45" s="36"/>
      <c r="E45" s="36"/>
      <c r="F45" s="36"/>
      <c r="G45" s="36"/>
      <c r="H45" s="36"/>
    </row>
    <row r="46" spans="1:8" x14ac:dyDescent="0.25">
      <c r="D46" s="36"/>
      <c r="E46" s="36"/>
      <c r="F46" s="36"/>
      <c r="G46" s="36"/>
      <c r="H46" s="36"/>
    </row>
    <row r="47" spans="1:8" x14ac:dyDescent="0.25">
      <c r="D47" s="36"/>
      <c r="E47" s="36"/>
      <c r="F47" s="36"/>
      <c r="G47" s="36"/>
      <c r="H47" s="36"/>
    </row>
    <row r="48" spans="1:8" x14ac:dyDescent="0.25">
      <c r="D48" s="36"/>
      <c r="E48" s="36"/>
      <c r="F48" s="36"/>
      <c r="G48" s="36"/>
      <c r="H48" s="36"/>
    </row>
    <row r="49" spans="4:8" x14ac:dyDescent="0.25">
      <c r="D49" s="36"/>
      <c r="E49" s="36"/>
      <c r="F49" s="36"/>
      <c r="G49" s="36"/>
      <c r="H49" s="36"/>
    </row>
    <row r="50" spans="4:8" x14ac:dyDescent="0.25">
      <c r="D50" s="36"/>
      <c r="E50" s="36"/>
      <c r="F50" s="36"/>
      <c r="G50" s="36"/>
      <c r="H50" s="36"/>
    </row>
  </sheetData>
  <mergeCells count="8">
    <mergeCell ref="A11:H11"/>
    <mergeCell ref="A1:H1"/>
    <mergeCell ref="A2:H2"/>
    <mergeCell ref="A3:H3"/>
    <mergeCell ref="A4:H4"/>
    <mergeCell ref="A5:H5"/>
    <mergeCell ref="A6:H8"/>
    <mergeCell ref="A9:H9"/>
  </mergeCells>
  <phoneticPr fontId="11" type="noConversion"/>
  <pageMargins left="0.75" right="0.4" top="0.75" bottom="0.75" header="0.5" footer="0.5"/>
  <pageSetup scale="90" firstPageNumber="0"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4597C-101A-4917-9A0C-C01306E108F4}">
  <sheetPr>
    <tabColor rgb="FF00B0F0"/>
  </sheetPr>
  <dimension ref="A1:H51"/>
  <sheetViews>
    <sheetView workbookViewId="0">
      <selection activeCell="M15" sqref="M15"/>
    </sheetView>
  </sheetViews>
  <sheetFormatPr defaultRowHeight="13.2" x14ac:dyDescent="0.25"/>
  <cols>
    <col min="1" max="1" width="25" style="28" customWidth="1"/>
    <col min="2" max="3" width="13.88671875" style="28" hidden="1" customWidth="1"/>
    <col min="4" max="4" width="25" style="28" customWidth="1"/>
    <col min="5" max="6" width="19" style="28" hidden="1" customWidth="1"/>
    <col min="7" max="8" width="25" style="28" customWidth="1"/>
    <col min="9" max="258" width="9.109375" style="1"/>
    <col min="259" max="263" width="18.5546875" style="1" customWidth="1"/>
    <col min="264" max="514" width="9.109375" style="1"/>
    <col min="515" max="519" width="18.5546875" style="1" customWidth="1"/>
    <col min="520" max="770" width="9.109375" style="1"/>
    <col min="771" max="775" width="18.5546875" style="1" customWidth="1"/>
    <col min="776" max="1026" width="9.109375" style="1"/>
    <col min="1027" max="1031" width="18.5546875" style="1" customWidth="1"/>
    <col min="1032" max="1282" width="9.109375" style="1"/>
    <col min="1283" max="1287" width="18.5546875" style="1" customWidth="1"/>
    <col min="1288" max="1538" width="9.109375" style="1"/>
    <col min="1539" max="1543" width="18.5546875" style="1" customWidth="1"/>
    <col min="1544" max="1794" width="9.109375" style="1"/>
    <col min="1795" max="1799" width="18.5546875" style="1" customWidth="1"/>
    <col min="1800" max="2050" width="9.109375" style="1"/>
    <col min="2051" max="2055" width="18.5546875" style="1" customWidth="1"/>
    <col min="2056" max="2306" width="9.109375" style="1"/>
    <col min="2307" max="2311" width="18.5546875" style="1" customWidth="1"/>
    <col min="2312" max="2562" width="9.109375" style="1"/>
    <col min="2563" max="2567" width="18.5546875" style="1" customWidth="1"/>
    <col min="2568" max="2818" width="9.109375" style="1"/>
    <col min="2819" max="2823" width="18.5546875" style="1" customWidth="1"/>
    <col min="2824" max="3074" width="9.109375" style="1"/>
    <col min="3075" max="3079" width="18.5546875" style="1" customWidth="1"/>
    <col min="3080" max="3330" width="9.109375" style="1"/>
    <col min="3331" max="3335" width="18.5546875" style="1" customWidth="1"/>
    <col min="3336" max="3586" width="9.109375" style="1"/>
    <col min="3587" max="3591" width="18.5546875" style="1" customWidth="1"/>
    <col min="3592" max="3842" width="9.109375" style="1"/>
    <col min="3843" max="3847" width="18.5546875" style="1" customWidth="1"/>
    <col min="3848" max="4098" width="9.109375" style="1"/>
    <col min="4099" max="4103" width="18.5546875" style="1" customWidth="1"/>
    <col min="4104" max="4354" width="9.109375" style="1"/>
    <col min="4355" max="4359" width="18.5546875" style="1" customWidth="1"/>
    <col min="4360" max="4610" width="9.109375" style="1"/>
    <col min="4611" max="4615" width="18.5546875" style="1" customWidth="1"/>
    <col min="4616" max="4866" width="9.109375" style="1"/>
    <col min="4867" max="4871" width="18.5546875" style="1" customWidth="1"/>
    <col min="4872" max="5122" width="9.109375" style="1"/>
    <col min="5123" max="5127" width="18.5546875" style="1" customWidth="1"/>
    <col min="5128" max="5378" width="9.109375" style="1"/>
    <col min="5379" max="5383" width="18.5546875" style="1" customWidth="1"/>
    <col min="5384" max="5634" width="9.109375" style="1"/>
    <col min="5635" max="5639" width="18.5546875" style="1" customWidth="1"/>
    <col min="5640" max="5890" width="9.109375" style="1"/>
    <col min="5891" max="5895" width="18.5546875" style="1" customWidth="1"/>
    <col min="5896" max="6146" width="9.109375" style="1"/>
    <col min="6147" max="6151" width="18.5546875" style="1" customWidth="1"/>
    <col min="6152" max="6402" width="9.109375" style="1"/>
    <col min="6403" max="6407" width="18.5546875" style="1" customWidth="1"/>
    <col min="6408" max="6658" width="9.109375" style="1"/>
    <col min="6659" max="6663" width="18.5546875" style="1" customWidth="1"/>
    <col min="6664" max="6914" width="9.109375" style="1"/>
    <col min="6915" max="6919" width="18.5546875" style="1" customWidth="1"/>
    <col min="6920" max="7170" width="9.109375" style="1"/>
    <col min="7171" max="7175" width="18.5546875" style="1" customWidth="1"/>
    <col min="7176" max="7426" width="9.109375" style="1"/>
    <col min="7427" max="7431" width="18.5546875" style="1" customWidth="1"/>
    <col min="7432" max="7682" width="9.109375" style="1"/>
    <col min="7683" max="7687" width="18.5546875" style="1" customWidth="1"/>
    <col min="7688" max="7938" width="9.109375" style="1"/>
    <col min="7939" max="7943" width="18.5546875" style="1" customWidth="1"/>
    <col min="7944" max="8194" width="9.109375" style="1"/>
    <col min="8195" max="8199" width="18.5546875" style="1" customWidth="1"/>
    <col min="8200" max="8450" width="9.109375" style="1"/>
    <col min="8451" max="8455" width="18.5546875" style="1" customWidth="1"/>
    <col min="8456" max="8706" width="9.109375" style="1"/>
    <col min="8707" max="8711" width="18.5546875" style="1" customWidth="1"/>
    <col min="8712" max="8962" width="9.109375" style="1"/>
    <col min="8963" max="8967" width="18.5546875" style="1" customWidth="1"/>
    <col min="8968" max="9218" width="9.109375" style="1"/>
    <col min="9219" max="9223" width="18.5546875" style="1" customWidth="1"/>
    <col min="9224" max="9474" width="9.109375" style="1"/>
    <col min="9475" max="9479" width="18.5546875" style="1" customWidth="1"/>
    <col min="9480" max="9730" width="9.109375" style="1"/>
    <col min="9731" max="9735" width="18.5546875" style="1" customWidth="1"/>
    <col min="9736" max="9986" width="9.109375" style="1"/>
    <col min="9987" max="9991" width="18.5546875" style="1" customWidth="1"/>
    <col min="9992" max="10242" width="9.109375" style="1"/>
    <col min="10243" max="10247" width="18.5546875" style="1" customWidth="1"/>
    <col min="10248" max="10498" width="9.109375" style="1"/>
    <col min="10499" max="10503" width="18.5546875" style="1" customWidth="1"/>
    <col min="10504" max="10754" width="9.109375" style="1"/>
    <col min="10755" max="10759" width="18.5546875" style="1" customWidth="1"/>
    <col min="10760" max="11010" width="9.109375" style="1"/>
    <col min="11011" max="11015" width="18.5546875" style="1" customWidth="1"/>
    <col min="11016" max="11266" width="9.109375" style="1"/>
    <col min="11267" max="11271" width="18.5546875" style="1" customWidth="1"/>
    <col min="11272" max="11522" width="9.109375" style="1"/>
    <col min="11523" max="11527" width="18.5546875" style="1" customWidth="1"/>
    <col min="11528" max="11778" width="9.109375" style="1"/>
    <col min="11779" max="11783" width="18.5546875" style="1" customWidth="1"/>
    <col min="11784" max="12034" width="9.109375" style="1"/>
    <col min="12035" max="12039" width="18.5546875" style="1" customWidth="1"/>
    <col min="12040" max="12290" width="9.109375" style="1"/>
    <col min="12291" max="12295" width="18.5546875" style="1" customWidth="1"/>
    <col min="12296" max="12546" width="9.109375" style="1"/>
    <col min="12547" max="12551" width="18.5546875" style="1" customWidth="1"/>
    <col min="12552" max="12802" width="9.109375" style="1"/>
    <col min="12803" max="12807" width="18.5546875" style="1" customWidth="1"/>
    <col min="12808" max="13058" width="9.109375" style="1"/>
    <col min="13059" max="13063" width="18.5546875" style="1" customWidth="1"/>
    <col min="13064" max="13314" width="9.109375" style="1"/>
    <col min="13315" max="13319" width="18.5546875" style="1" customWidth="1"/>
    <col min="13320" max="13570" width="9.109375" style="1"/>
    <col min="13571" max="13575" width="18.5546875" style="1" customWidth="1"/>
    <col min="13576" max="13826" width="9.109375" style="1"/>
    <col min="13827" max="13831" width="18.5546875" style="1" customWidth="1"/>
    <col min="13832" max="14082" width="9.109375" style="1"/>
    <col min="14083" max="14087" width="18.5546875" style="1" customWidth="1"/>
    <col min="14088" max="14338" width="9.109375" style="1"/>
    <col min="14339" max="14343" width="18.5546875" style="1" customWidth="1"/>
    <col min="14344" max="14594" width="9.109375" style="1"/>
    <col min="14595" max="14599" width="18.5546875" style="1" customWidth="1"/>
    <col min="14600" max="14850" width="9.109375" style="1"/>
    <col min="14851" max="14855" width="18.5546875" style="1" customWidth="1"/>
    <col min="14856" max="15106" width="9.109375" style="1"/>
    <col min="15107" max="15111" width="18.5546875" style="1" customWidth="1"/>
    <col min="15112" max="15362" width="9.109375" style="1"/>
    <col min="15363" max="15367" width="18.5546875" style="1" customWidth="1"/>
    <col min="15368" max="15618" width="9.109375" style="1"/>
    <col min="15619" max="15623" width="18.5546875" style="1" customWidth="1"/>
    <col min="15624" max="15874" width="9.109375" style="1"/>
    <col min="15875" max="15879" width="18.5546875" style="1" customWidth="1"/>
    <col min="15880" max="16130" width="9.109375" style="1"/>
    <col min="16131" max="16135" width="18.5546875" style="1" customWidth="1"/>
    <col min="16136" max="16384" width="9.109375" style="1"/>
  </cols>
  <sheetData>
    <row r="1" spans="1:8" ht="15" customHeight="1" x14ac:dyDescent="0.3">
      <c r="A1" s="69" t="s">
        <v>0</v>
      </c>
      <c r="B1" s="69"/>
      <c r="C1" s="69"/>
      <c r="D1" s="69"/>
      <c r="E1" s="69"/>
      <c r="F1" s="69"/>
      <c r="G1" s="69"/>
      <c r="H1" s="69"/>
    </row>
    <row r="2" spans="1:8" ht="15" customHeight="1" x14ac:dyDescent="0.3">
      <c r="A2" s="69" t="s">
        <v>141</v>
      </c>
      <c r="B2" s="69"/>
      <c r="C2" s="69"/>
      <c r="D2" s="69"/>
      <c r="E2" s="69"/>
      <c r="F2" s="69"/>
      <c r="G2" s="69"/>
      <c r="H2" s="69"/>
    </row>
    <row r="3" spans="1:8" ht="15" customHeight="1" x14ac:dyDescent="0.3">
      <c r="A3" s="70" t="s">
        <v>1</v>
      </c>
      <c r="B3" s="70"/>
      <c r="C3" s="70"/>
      <c r="D3" s="70"/>
      <c r="E3" s="70"/>
      <c r="F3" s="70"/>
      <c r="G3" s="70"/>
      <c r="H3" s="70"/>
    </row>
    <row r="4" spans="1:8" ht="15" customHeight="1" x14ac:dyDescent="0.3">
      <c r="A4" s="70" t="s">
        <v>100</v>
      </c>
      <c r="B4" s="70"/>
      <c r="C4" s="70"/>
      <c r="D4" s="70"/>
      <c r="E4" s="70"/>
      <c r="F4" s="70"/>
      <c r="G4" s="70"/>
      <c r="H4" s="70"/>
    </row>
    <row r="5" spans="1:8" ht="15" customHeight="1" x14ac:dyDescent="0.3">
      <c r="A5" s="70" t="s">
        <v>101</v>
      </c>
      <c r="B5" s="70"/>
      <c r="C5" s="70"/>
      <c r="D5" s="70"/>
      <c r="E5" s="70"/>
      <c r="F5" s="70"/>
      <c r="G5" s="70"/>
      <c r="H5" s="70"/>
    </row>
    <row r="6" spans="1:8" ht="8.25" customHeight="1" x14ac:dyDescent="0.25">
      <c r="A6" s="73" t="s">
        <v>149</v>
      </c>
      <c r="B6" s="73"/>
      <c r="C6" s="73"/>
      <c r="D6" s="73"/>
      <c r="E6" s="73"/>
      <c r="F6" s="73"/>
      <c r="G6" s="73"/>
      <c r="H6" s="73"/>
    </row>
    <row r="7" spans="1:8" ht="15" customHeight="1" x14ac:dyDescent="0.25">
      <c r="A7" s="73"/>
      <c r="B7" s="73"/>
      <c r="C7" s="73"/>
      <c r="D7" s="73"/>
      <c r="E7" s="73"/>
      <c r="F7" s="73"/>
      <c r="G7" s="73"/>
      <c r="H7" s="73"/>
    </row>
    <row r="8" spans="1:8" ht="23.25" customHeight="1" x14ac:dyDescent="0.25">
      <c r="A8" s="73"/>
      <c r="B8" s="73"/>
      <c r="C8" s="73"/>
      <c r="D8" s="73"/>
      <c r="E8" s="73"/>
      <c r="F8" s="73"/>
      <c r="G8" s="73"/>
      <c r="H8" s="73"/>
    </row>
    <row r="9" spans="1:8" ht="15" customHeight="1" x14ac:dyDescent="0.25">
      <c r="A9" s="72" t="s">
        <v>131</v>
      </c>
      <c r="B9" s="72"/>
      <c r="C9" s="72"/>
      <c r="D9" s="72"/>
      <c r="E9" s="72"/>
      <c r="F9" s="72"/>
      <c r="G9" s="72"/>
      <c r="H9" s="72"/>
    </row>
    <row r="10" spans="1:8" ht="9" customHeight="1" x14ac:dyDescent="0.25">
      <c r="A10" s="41"/>
      <c r="B10" s="41"/>
      <c r="C10" s="41"/>
      <c r="D10" s="41"/>
      <c r="E10" s="41"/>
      <c r="F10" s="41"/>
      <c r="G10" s="41"/>
      <c r="H10" s="41"/>
    </row>
    <row r="11" spans="1:8" ht="9" customHeight="1" x14ac:dyDescent="0.25">
      <c r="A11" s="68"/>
      <c r="B11" s="68"/>
      <c r="C11" s="68"/>
      <c r="D11" s="68"/>
      <c r="E11" s="68"/>
      <c r="F11" s="68"/>
      <c r="G11" s="68"/>
      <c r="H11" s="68"/>
    </row>
    <row r="12" spans="1:8" x14ac:dyDescent="0.25">
      <c r="A12" s="3" t="s">
        <v>47</v>
      </c>
      <c r="B12" s="56" t="s">
        <v>133</v>
      </c>
      <c r="C12" s="56" t="s">
        <v>132</v>
      </c>
      <c r="D12" s="39" t="s">
        <v>48</v>
      </c>
      <c r="E12" s="56" t="s">
        <v>134</v>
      </c>
      <c r="F12" s="56" t="s">
        <v>135</v>
      </c>
      <c r="G12" s="39" t="s">
        <v>49</v>
      </c>
      <c r="H12" s="39" t="s">
        <v>50</v>
      </c>
    </row>
    <row r="13" spans="1:8" ht="8.25" customHeight="1" x14ac:dyDescent="0.25">
      <c r="B13" s="57"/>
      <c r="C13" s="57"/>
      <c r="E13" s="57"/>
      <c r="F13" s="57"/>
    </row>
    <row r="14" spans="1:8" s="5" customFormat="1" ht="12" customHeight="1" x14ac:dyDescent="0.2">
      <c r="A14" s="4" t="s">
        <v>6</v>
      </c>
      <c r="B14" s="58">
        <v>65000</v>
      </c>
      <c r="C14" s="58">
        <v>135000</v>
      </c>
      <c r="D14" s="34">
        <v>200000</v>
      </c>
      <c r="E14" s="58">
        <v>342400</v>
      </c>
      <c r="F14" s="58">
        <v>101100</v>
      </c>
      <c r="G14" s="34">
        <f>223750+219750</f>
        <v>443500</v>
      </c>
      <c r="H14" s="34">
        <f t="shared" ref="H14:H32" si="0">+D14+G14</f>
        <v>643500</v>
      </c>
    </row>
    <row r="15" spans="1:8" s="5" customFormat="1" ht="12" customHeight="1" x14ac:dyDescent="0.2">
      <c r="A15" s="4" t="s">
        <v>7</v>
      </c>
      <c r="B15" s="58">
        <v>120000</v>
      </c>
      <c r="C15" s="58">
        <v>140000</v>
      </c>
      <c r="D15" s="34">
        <v>260000</v>
      </c>
      <c r="E15" s="58">
        <v>338700</v>
      </c>
      <c r="F15" s="58">
        <v>95600</v>
      </c>
      <c r="G15" s="34">
        <f>219750+214550</f>
        <v>434300</v>
      </c>
      <c r="H15" s="34">
        <f t="shared" si="0"/>
        <v>694300</v>
      </c>
    </row>
    <row r="16" spans="1:8" s="5" customFormat="1" ht="12" customHeight="1" x14ac:dyDescent="0.2">
      <c r="A16" s="4" t="s">
        <v>8</v>
      </c>
      <c r="B16" s="58">
        <v>455000</v>
      </c>
      <c r="C16" s="58">
        <v>145000</v>
      </c>
      <c r="D16" s="34">
        <v>600000</v>
      </c>
      <c r="E16" s="58">
        <v>327200</v>
      </c>
      <c r="F16" s="58">
        <v>89900</v>
      </c>
      <c r="G16" s="34">
        <f>214550+202550</f>
        <v>417100</v>
      </c>
      <c r="H16" s="34">
        <f t="shared" si="0"/>
        <v>1017100</v>
      </c>
    </row>
    <row r="17" spans="1:8" s="5" customFormat="1" ht="12" customHeight="1" x14ac:dyDescent="0.2">
      <c r="A17" s="4" t="s">
        <v>9</v>
      </c>
      <c r="B17" s="58">
        <v>470000</v>
      </c>
      <c r="C17" s="58">
        <v>150000</v>
      </c>
      <c r="D17" s="34">
        <v>620000</v>
      </c>
      <c r="E17" s="58">
        <v>308700</v>
      </c>
      <c r="F17" s="58">
        <v>84000</v>
      </c>
      <c r="G17" s="34">
        <f>202550+190150</f>
        <v>392700</v>
      </c>
      <c r="H17" s="34">
        <f t="shared" si="0"/>
        <v>1012700</v>
      </c>
    </row>
    <row r="18" spans="1:8" s="5" customFormat="1" ht="12" customHeight="1" x14ac:dyDescent="0.2">
      <c r="A18" s="4" t="s">
        <v>10</v>
      </c>
      <c r="B18" s="58">
        <v>490000</v>
      </c>
      <c r="C18" s="58">
        <v>160000</v>
      </c>
      <c r="D18" s="34">
        <v>650000</v>
      </c>
      <c r="E18" s="58">
        <v>289500</v>
      </c>
      <c r="F18" s="58">
        <v>77800</v>
      </c>
      <c r="G18" s="34">
        <f>190150+177150</f>
        <v>367300</v>
      </c>
      <c r="H18" s="34">
        <f t="shared" si="0"/>
        <v>1017300</v>
      </c>
    </row>
    <row r="19" spans="1:8" s="5" customFormat="1" ht="12" customHeight="1" x14ac:dyDescent="0.2">
      <c r="A19" s="4" t="s">
        <v>11</v>
      </c>
      <c r="B19" s="58">
        <v>510000</v>
      </c>
      <c r="C19" s="58">
        <v>165000</v>
      </c>
      <c r="D19" s="34">
        <v>675000</v>
      </c>
      <c r="E19" s="58">
        <v>269500</v>
      </c>
      <c r="F19" s="58">
        <v>71300</v>
      </c>
      <c r="G19" s="34">
        <f>177150+163650</f>
        <v>340800</v>
      </c>
      <c r="H19" s="34">
        <f t="shared" si="0"/>
        <v>1015800</v>
      </c>
    </row>
    <row r="20" spans="1:8" s="5" customFormat="1" ht="12" customHeight="1" x14ac:dyDescent="0.2">
      <c r="A20" s="4" t="s">
        <v>16</v>
      </c>
      <c r="B20" s="58">
        <v>655000</v>
      </c>
      <c r="C20" s="58">
        <v>170000</v>
      </c>
      <c r="D20" s="34">
        <v>825000</v>
      </c>
      <c r="E20" s="58">
        <v>246200</v>
      </c>
      <c r="F20" s="58">
        <v>64600</v>
      </c>
      <c r="G20" s="34">
        <f>163650+147150</f>
        <v>310800</v>
      </c>
      <c r="H20" s="34">
        <f t="shared" si="0"/>
        <v>1135800</v>
      </c>
    </row>
    <row r="21" spans="1:8" s="5" customFormat="1" ht="12" customHeight="1" x14ac:dyDescent="0.2">
      <c r="A21" s="4" t="s">
        <v>22</v>
      </c>
      <c r="B21" s="58">
        <v>680000</v>
      </c>
      <c r="C21" s="58">
        <v>180000</v>
      </c>
      <c r="D21" s="34">
        <v>860000</v>
      </c>
      <c r="E21" s="58">
        <v>219500</v>
      </c>
      <c r="F21" s="58">
        <v>57600</v>
      </c>
      <c r="G21" s="34">
        <f>147150+129950</f>
        <v>277100</v>
      </c>
      <c r="H21" s="34">
        <f t="shared" si="0"/>
        <v>1137100</v>
      </c>
    </row>
    <row r="22" spans="1:8" s="5" customFormat="1" ht="12" customHeight="1" x14ac:dyDescent="0.2">
      <c r="A22" s="4" t="s">
        <v>23</v>
      </c>
      <c r="B22" s="58">
        <v>710000</v>
      </c>
      <c r="C22" s="58">
        <v>185000</v>
      </c>
      <c r="D22" s="34">
        <v>895000</v>
      </c>
      <c r="E22" s="58">
        <v>191700</v>
      </c>
      <c r="F22" s="58">
        <v>50300</v>
      </c>
      <c r="G22" s="34">
        <f>129950+112050</f>
        <v>242000</v>
      </c>
      <c r="H22" s="34">
        <f t="shared" si="0"/>
        <v>1137000</v>
      </c>
    </row>
    <row r="23" spans="1:8" s="5" customFormat="1" ht="12" customHeight="1" x14ac:dyDescent="0.2">
      <c r="A23" s="4" t="s">
        <v>24</v>
      </c>
      <c r="B23" s="58">
        <v>735000</v>
      </c>
      <c r="C23" s="58">
        <v>195000</v>
      </c>
      <c r="D23" s="34">
        <v>930000</v>
      </c>
      <c r="E23" s="58">
        <v>162800</v>
      </c>
      <c r="F23" s="58">
        <v>42700</v>
      </c>
      <c r="G23" s="34">
        <f>112050+93450</f>
        <v>205500</v>
      </c>
      <c r="H23" s="34">
        <f t="shared" si="0"/>
        <v>1135500</v>
      </c>
    </row>
    <row r="24" spans="1:8" s="5" customFormat="1" ht="12" customHeight="1" x14ac:dyDescent="0.2">
      <c r="A24" s="4" t="s">
        <v>25</v>
      </c>
      <c r="B24" s="58">
        <v>760000</v>
      </c>
      <c r="C24" s="58">
        <v>200000</v>
      </c>
      <c r="D24" s="34">
        <v>960000</v>
      </c>
      <c r="E24" s="58">
        <v>140500</v>
      </c>
      <c r="F24" s="58">
        <v>36800</v>
      </c>
      <c r="G24" s="34">
        <f>93450+83850</f>
        <v>177300</v>
      </c>
      <c r="H24" s="34">
        <f t="shared" si="0"/>
        <v>1137300</v>
      </c>
    </row>
    <row r="25" spans="1:8" s="5" customFormat="1" ht="12" customHeight="1" x14ac:dyDescent="0.2">
      <c r="A25" s="4" t="s">
        <v>28</v>
      </c>
      <c r="B25" s="58">
        <v>775000</v>
      </c>
      <c r="C25" s="58">
        <v>200000</v>
      </c>
      <c r="D25" s="34">
        <v>975000</v>
      </c>
      <c r="E25" s="58">
        <v>125150</v>
      </c>
      <c r="F25" s="58">
        <v>32800</v>
      </c>
      <c r="G25" s="34">
        <f>83850+74100</f>
        <v>157950</v>
      </c>
      <c r="H25" s="34">
        <f t="shared" si="0"/>
        <v>1132950</v>
      </c>
    </row>
    <row r="26" spans="1:8" s="5" customFormat="1" ht="12" customHeight="1" x14ac:dyDescent="0.2">
      <c r="A26" s="4" t="s">
        <v>29</v>
      </c>
      <c r="B26" s="58">
        <v>790000</v>
      </c>
      <c r="C26" s="58">
        <v>205000</v>
      </c>
      <c r="D26" s="34">
        <v>995000</v>
      </c>
      <c r="E26" s="58">
        <v>109500</v>
      </c>
      <c r="F26" s="58">
        <v>28750</v>
      </c>
      <c r="G26" s="34">
        <f>74100+64150</f>
        <v>138250</v>
      </c>
      <c r="H26" s="34">
        <f t="shared" si="0"/>
        <v>1133250</v>
      </c>
    </row>
    <row r="27" spans="1:8" s="5" customFormat="1" ht="12" customHeight="1" x14ac:dyDescent="0.2">
      <c r="A27" s="4" t="s">
        <v>45</v>
      </c>
      <c r="B27" s="58">
        <v>805000</v>
      </c>
      <c r="C27" s="58">
        <v>210000</v>
      </c>
      <c r="D27" s="34">
        <v>1015000</v>
      </c>
      <c r="E27" s="58">
        <v>93550</v>
      </c>
      <c r="F27" s="58">
        <v>24600</v>
      </c>
      <c r="G27" s="34">
        <f>64150+54000</f>
        <v>118150</v>
      </c>
      <c r="H27" s="34">
        <f t="shared" si="0"/>
        <v>1133150</v>
      </c>
    </row>
    <row r="28" spans="1:8" s="5" customFormat="1" ht="12" customHeight="1" x14ac:dyDescent="0.2">
      <c r="A28" s="4" t="s">
        <v>53</v>
      </c>
      <c r="B28" s="58">
        <v>820000</v>
      </c>
      <c r="C28" s="58">
        <v>215000</v>
      </c>
      <c r="D28" s="34">
        <v>1035000</v>
      </c>
      <c r="E28" s="58">
        <v>77300</v>
      </c>
      <c r="F28" s="58">
        <v>20350</v>
      </c>
      <c r="G28" s="34">
        <f>54000+43650</f>
        <v>97650</v>
      </c>
      <c r="H28" s="34">
        <f t="shared" si="0"/>
        <v>1132650</v>
      </c>
    </row>
    <row r="29" spans="1:8" s="5" customFormat="1" ht="12" customHeight="1" x14ac:dyDescent="0.2">
      <c r="A29" s="4" t="s">
        <v>56</v>
      </c>
      <c r="B29" s="58">
        <v>840000</v>
      </c>
      <c r="C29" s="58">
        <v>220000</v>
      </c>
      <c r="D29" s="34">
        <v>1060000</v>
      </c>
      <c r="E29" s="58">
        <v>60700</v>
      </c>
      <c r="F29" s="58">
        <v>16000</v>
      </c>
      <c r="G29" s="34">
        <f>43650+33050</f>
        <v>76700</v>
      </c>
      <c r="H29" s="34">
        <f t="shared" si="0"/>
        <v>1136700</v>
      </c>
    </row>
    <row r="30" spans="1:8" s="5" customFormat="1" ht="12" customHeight="1" x14ac:dyDescent="0.2">
      <c r="A30" s="4" t="s">
        <v>79</v>
      </c>
      <c r="B30" s="58">
        <v>855000</v>
      </c>
      <c r="C30" s="58">
        <v>225000</v>
      </c>
      <c r="D30" s="34">
        <v>1080000</v>
      </c>
      <c r="E30" s="58">
        <v>43750</v>
      </c>
      <c r="F30" s="58">
        <v>11550</v>
      </c>
      <c r="G30" s="34">
        <f>33050+22250</f>
        <v>55300</v>
      </c>
      <c r="H30" s="34">
        <f t="shared" si="0"/>
        <v>1135300</v>
      </c>
    </row>
    <row r="31" spans="1:8" s="5" customFormat="1" ht="12" customHeight="1" x14ac:dyDescent="0.2">
      <c r="A31" s="4" t="s">
        <v>86</v>
      </c>
      <c r="B31" s="58">
        <v>875000</v>
      </c>
      <c r="C31" s="58">
        <v>230000</v>
      </c>
      <c r="D31" s="34">
        <v>1105000</v>
      </c>
      <c r="E31" s="58">
        <v>26450</v>
      </c>
      <c r="F31" s="58">
        <v>7000</v>
      </c>
      <c r="G31" s="34">
        <f>22250+11200</f>
        <v>33450</v>
      </c>
      <c r="H31" s="34">
        <f t="shared" si="0"/>
        <v>1138450</v>
      </c>
    </row>
    <row r="32" spans="1:8" s="5" customFormat="1" ht="12" customHeight="1" x14ac:dyDescent="0.2">
      <c r="A32" s="4" t="s">
        <v>99</v>
      </c>
      <c r="B32" s="58">
        <v>885000</v>
      </c>
      <c r="C32" s="58">
        <v>235000</v>
      </c>
      <c r="D32" s="34">
        <v>1120000</v>
      </c>
      <c r="E32" s="58">
        <v>8850</v>
      </c>
      <c r="F32" s="58">
        <v>2350</v>
      </c>
      <c r="G32" s="34">
        <f>11200</f>
        <v>11200</v>
      </c>
      <c r="H32" s="34">
        <f t="shared" si="0"/>
        <v>1131200</v>
      </c>
    </row>
    <row r="33" spans="1:8" x14ac:dyDescent="0.25">
      <c r="A33" s="6" t="s">
        <v>4</v>
      </c>
      <c r="B33" s="65">
        <f t="shared" ref="B33:C33" si="1">SUM(B14:B32)</f>
        <v>12295000</v>
      </c>
      <c r="C33" s="65">
        <f t="shared" si="1"/>
        <v>3565000</v>
      </c>
      <c r="D33" s="35">
        <f>SUM(D14:D32)</f>
        <v>15860000</v>
      </c>
      <c r="E33" s="65">
        <f t="shared" ref="E33" si="2">SUM(E14:E32)</f>
        <v>3381950</v>
      </c>
      <c r="F33" s="65">
        <f t="shared" ref="F33" si="3">SUM(F14:F32)</f>
        <v>915100</v>
      </c>
      <c r="G33" s="35">
        <f>SUM(G14:G32)</f>
        <v>4297050</v>
      </c>
      <c r="H33" s="35">
        <f>SUM(H14:H32)</f>
        <v>20157050</v>
      </c>
    </row>
    <row r="34" spans="1:8" x14ac:dyDescent="0.25">
      <c r="A34" s="7"/>
      <c r="B34" s="7"/>
      <c r="C34" s="7"/>
      <c r="D34" s="36"/>
      <c r="E34" s="36"/>
      <c r="F34" s="36"/>
      <c r="G34" s="36"/>
      <c r="H34" s="36"/>
    </row>
    <row r="35" spans="1:8" x14ac:dyDescent="0.25">
      <c r="A35" s="7" t="s">
        <v>37</v>
      </c>
      <c r="B35" s="7"/>
      <c r="C35" s="7"/>
      <c r="D35" s="36"/>
      <c r="E35" s="36"/>
      <c r="F35" s="36"/>
      <c r="G35" s="36"/>
      <c r="H35" s="36"/>
    </row>
    <row r="36" spans="1:8" x14ac:dyDescent="0.25">
      <c r="A36" s="7"/>
      <c r="B36" s="7"/>
      <c r="C36" s="7"/>
      <c r="D36" s="36"/>
      <c r="E36" s="36"/>
      <c r="F36" s="36"/>
      <c r="G36" s="36"/>
      <c r="H36" s="36"/>
    </row>
    <row r="37" spans="1:8" x14ac:dyDescent="0.25">
      <c r="A37" s="7"/>
      <c r="B37" s="7"/>
      <c r="C37" s="7"/>
      <c r="D37" s="36"/>
      <c r="E37" s="36"/>
      <c r="F37" s="36"/>
      <c r="G37" s="36"/>
      <c r="H37" s="36"/>
    </row>
    <row r="38" spans="1:8" x14ac:dyDescent="0.25">
      <c r="A38" s="7"/>
      <c r="B38" s="7"/>
      <c r="C38" s="7"/>
      <c r="D38" s="36"/>
      <c r="E38" s="36"/>
      <c r="F38" s="36"/>
      <c r="G38" s="36"/>
      <c r="H38" s="36"/>
    </row>
    <row r="39" spans="1:8" x14ac:dyDescent="0.25">
      <c r="A39" s="7"/>
      <c r="B39" s="7"/>
      <c r="C39" s="7"/>
      <c r="D39" s="36"/>
      <c r="E39" s="36"/>
      <c r="F39" s="36"/>
      <c r="G39" s="36"/>
      <c r="H39" s="36"/>
    </row>
    <row r="40" spans="1:8" x14ac:dyDescent="0.25">
      <c r="A40" s="7"/>
      <c r="B40" s="7"/>
      <c r="C40" s="7"/>
      <c r="D40" s="36"/>
      <c r="E40" s="36"/>
      <c r="F40" s="36"/>
      <c r="G40" s="36"/>
      <c r="H40" s="36"/>
    </row>
    <row r="41" spans="1:8" x14ac:dyDescent="0.25">
      <c r="A41" s="7"/>
      <c r="B41" s="7"/>
      <c r="C41" s="7"/>
      <c r="D41" s="36"/>
      <c r="E41" s="36"/>
      <c r="F41" s="36"/>
      <c r="G41" s="36"/>
      <c r="H41" s="36"/>
    </row>
    <row r="42" spans="1:8" x14ac:dyDescent="0.25">
      <c r="D42" s="36"/>
      <c r="E42" s="36"/>
      <c r="F42" s="36"/>
      <c r="G42" s="36"/>
      <c r="H42" s="36"/>
    </row>
    <row r="43" spans="1:8" x14ac:dyDescent="0.25">
      <c r="D43" s="36"/>
      <c r="E43" s="36"/>
      <c r="F43" s="36"/>
      <c r="G43" s="36"/>
      <c r="H43" s="36"/>
    </row>
    <row r="44" spans="1:8" x14ac:dyDescent="0.25">
      <c r="D44" s="36"/>
      <c r="E44" s="36"/>
      <c r="F44" s="36"/>
      <c r="G44" s="36"/>
      <c r="H44" s="36"/>
    </row>
    <row r="45" spans="1:8" x14ac:dyDescent="0.25">
      <c r="D45" s="36"/>
      <c r="E45" s="36"/>
      <c r="F45" s="36"/>
      <c r="G45" s="36"/>
      <c r="H45" s="36"/>
    </row>
    <row r="46" spans="1:8" x14ac:dyDescent="0.25">
      <c r="D46" s="36"/>
      <c r="E46" s="36"/>
      <c r="F46" s="36"/>
      <c r="G46" s="36"/>
      <c r="H46" s="36"/>
    </row>
    <row r="47" spans="1:8" x14ac:dyDescent="0.25">
      <c r="D47" s="36"/>
      <c r="E47" s="36"/>
      <c r="F47" s="36"/>
      <c r="G47" s="36"/>
      <c r="H47" s="36"/>
    </row>
    <row r="48" spans="1:8" x14ac:dyDescent="0.25">
      <c r="D48" s="36"/>
      <c r="E48" s="36"/>
      <c r="F48" s="36"/>
      <c r="G48" s="36"/>
      <c r="H48" s="36"/>
    </row>
    <row r="49" spans="4:8" x14ac:dyDescent="0.25">
      <c r="D49" s="36"/>
      <c r="E49" s="36"/>
      <c r="F49" s="36"/>
      <c r="G49" s="36"/>
      <c r="H49" s="36"/>
    </row>
    <row r="50" spans="4:8" x14ac:dyDescent="0.25">
      <c r="D50" s="36"/>
      <c r="E50" s="36"/>
      <c r="F50" s="36"/>
      <c r="G50" s="36"/>
      <c r="H50" s="36"/>
    </row>
    <row r="51" spans="4:8" x14ac:dyDescent="0.25">
      <c r="D51" s="36"/>
      <c r="E51" s="36"/>
      <c r="F51" s="36"/>
      <c r="G51" s="36"/>
      <c r="H51" s="36"/>
    </row>
  </sheetData>
  <mergeCells count="8">
    <mergeCell ref="A11:H11"/>
    <mergeCell ref="A1:H1"/>
    <mergeCell ref="A2:H2"/>
    <mergeCell ref="A3:H3"/>
    <mergeCell ref="A4:H4"/>
    <mergeCell ref="A5:H5"/>
    <mergeCell ref="A6:H8"/>
    <mergeCell ref="A9:H9"/>
  </mergeCells>
  <phoneticPr fontId="11" type="noConversion"/>
  <pageMargins left="0.75" right="0.4" top="0.75" bottom="0.75" header="0.5" footer="0.5"/>
  <pageSetup scale="90" firstPageNumber="0"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746B0-AB81-49B2-B729-13D60D56AF24}">
  <sheetPr>
    <tabColor rgb="FF00B0F0"/>
  </sheetPr>
  <dimension ref="A1:F51"/>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103</v>
      </c>
      <c r="B4" s="70"/>
      <c r="C4" s="70"/>
      <c r="D4" s="70"/>
    </row>
    <row r="5" spans="1:4" ht="15" customHeight="1" x14ac:dyDescent="0.3">
      <c r="A5" s="70" t="s">
        <v>104</v>
      </c>
      <c r="B5" s="70"/>
      <c r="C5" s="70"/>
      <c r="D5" s="70"/>
    </row>
    <row r="6" spans="1:4" ht="8.25" customHeight="1" x14ac:dyDescent="0.25">
      <c r="A6" s="73" t="s">
        <v>127</v>
      </c>
      <c r="B6" s="73"/>
      <c r="C6" s="73"/>
      <c r="D6" s="73"/>
    </row>
    <row r="7" spans="1:4" ht="15" customHeight="1" x14ac:dyDescent="0.25">
      <c r="A7" s="73"/>
      <c r="B7" s="73"/>
      <c r="C7" s="73"/>
      <c r="D7" s="73"/>
    </row>
    <row r="8" spans="1:4" ht="23.25" customHeight="1" x14ac:dyDescent="0.25">
      <c r="A8" s="73"/>
      <c r="B8" s="73"/>
      <c r="C8" s="73"/>
      <c r="D8" s="73"/>
    </row>
    <row r="9" spans="1:4" ht="15" customHeight="1" x14ac:dyDescent="0.25">
      <c r="A9" s="72" t="s">
        <v>125</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row r="14" spans="1:4" s="5" customFormat="1" ht="12" customHeight="1" x14ac:dyDescent="0.2">
      <c r="A14" s="4" t="s">
        <v>6</v>
      </c>
      <c r="B14" s="34">
        <v>365000</v>
      </c>
      <c r="C14" s="34">
        <f>184625+177325</f>
        <v>361950</v>
      </c>
      <c r="D14" s="34">
        <f t="shared" ref="D14:D32" si="0">+B14+C14</f>
        <v>726950</v>
      </c>
    </row>
    <row r="15" spans="1:4" s="5" customFormat="1" ht="12" customHeight="1" x14ac:dyDescent="0.2">
      <c r="A15" s="4" t="s">
        <v>7</v>
      </c>
      <c r="B15" s="34">
        <v>380000</v>
      </c>
      <c r="C15" s="34">
        <f>177325+169725</f>
        <v>347050</v>
      </c>
      <c r="D15" s="34">
        <f t="shared" si="0"/>
        <v>727050</v>
      </c>
    </row>
    <row r="16" spans="1:4" s="5" customFormat="1" ht="12" customHeight="1" x14ac:dyDescent="0.2">
      <c r="A16" s="4" t="s">
        <v>8</v>
      </c>
      <c r="B16" s="34">
        <v>395000</v>
      </c>
      <c r="C16" s="34">
        <f>169725+161825</f>
        <v>331550</v>
      </c>
      <c r="D16" s="34">
        <f t="shared" si="0"/>
        <v>726550</v>
      </c>
    </row>
    <row r="17" spans="1:6" s="5" customFormat="1" ht="12" customHeight="1" x14ac:dyDescent="0.2">
      <c r="A17" s="4" t="s">
        <v>9</v>
      </c>
      <c r="B17" s="34">
        <v>410000</v>
      </c>
      <c r="C17" s="34">
        <f>161825+153625</f>
        <v>315450</v>
      </c>
      <c r="D17" s="34">
        <f t="shared" si="0"/>
        <v>725450</v>
      </c>
    </row>
    <row r="18" spans="1:6" s="5" customFormat="1" ht="12" customHeight="1" x14ac:dyDescent="0.3">
      <c r="A18" s="4" t="s">
        <v>10</v>
      </c>
      <c r="B18" s="34">
        <v>425000</v>
      </c>
      <c r="C18" s="34">
        <f>153625+145125</f>
        <v>298750</v>
      </c>
      <c r="D18" s="34">
        <f t="shared" si="0"/>
        <v>723750</v>
      </c>
      <c r="F18" s="45"/>
    </row>
    <row r="19" spans="1:6" s="5" customFormat="1" ht="12" customHeight="1" x14ac:dyDescent="0.3">
      <c r="A19" s="4" t="s">
        <v>11</v>
      </c>
      <c r="B19" s="34">
        <v>445000</v>
      </c>
      <c r="C19" s="34">
        <f>145125+136225</f>
        <v>281350</v>
      </c>
      <c r="D19" s="34">
        <f t="shared" si="0"/>
        <v>726350</v>
      </c>
      <c r="F19" s="45"/>
    </row>
    <row r="20" spans="1:6" s="5" customFormat="1" ht="12" customHeight="1" x14ac:dyDescent="0.2">
      <c r="A20" s="4" t="s">
        <v>16</v>
      </c>
      <c r="B20" s="34">
        <v>465000</v>
      </c>
      <c r="C20" s="34">
        <f>136225+126925</f>
        <v>263150</v>
      </c>
      <c r="D20" s="34">
        <f t="shared" si="0"/>
        <v>728150</v>
      </c>
    </row>
    <row r="21" spans="1:6" s="5" customFormat="1" ht="12" customHeight="1" x14ac:dyDescent="0.2">
      <c r="A21" s="4" t="s">
        <v>22</v>
      </c>
      <c r="B21" s="34">
        <v>480000</v>
      </c>
      <c r="C21" s="34">
        <f>126925+117325</f>
        <v>244250</v>
      </c>
      <c r="D21" s="34">
        <f t="shared" si="0"/>
        <v>724250</v>
      </c>
    </row>
    <row r="22" spans="1:6" s="5" customFormat="1" ht="12" customHeight="1" x14ac:dyDescent="0.2">
      <c r="A22" s="4" t="s">
        <v>23</v>
      </c>
      <c r="B22" s="34">
        <v>500000</v>
      </c>
      <c r="C22" s="34">
        <f>117325+107325</f>
        <v>224650</v>
      </c>
      <c r="D22" s="34">
        <f t="shared" si="0"/>
        <v>724650</v>
      </c>
    </row>
    <row r="23" spans="1:6" s="5" customFormat="1" ht="12" customHeight="1" x14ac:dyDescent="0.2">
      <c r="A23" s="4" t="s">
        <v>24</v>
      </c>
      <c r="B23" s="34">
        <v>520000</v>
      </c>
      <c r="C23" s="34">
        <f>107325+96925</f>
        <v>204250</v>
      </c>
      <c r="D23" s="34">
        <f t="shared" si="0"/>
        <v>724250</v>
      </c>
    </row>
    <row r="24" spans="1:6" s="5" customFormat="1" ht="12" customHeight="1" x14ac:dyDescent="0.2">
      <c r="A24" s="4" t="s">
        <v>25</v>
      </c>
      <c r="B24" s="34">
        <v>545000</v>
      </c>
      <c r="C24" s="34">
        <f>96925+86025</f>
        <v>182950</v>
      </c>
      <c r="D24" s="34">
        <f t="shared" si="0"/>
        <v>727950</v>
      </c>
    </row>
    <row r="25" spans="1:6" s="5" customFormat="1" ht="12" customHeight="1" x14ac:dyDescent="0.2">
      <c r="A25" s="4" t="s">
        <v>28</v>
      </c>
      <c r="B25" s="34">
        <v>565000</v>
      </c>
      <c r="C25" s="34">
        <f>86025+74725</f>
        <v>160750</v>
      </c>
      <c r="D25" s="34">
        <f t="shared" si="0"/>
        <v>725750</v>
      </c>
    </row>
    <row r="26" spans="1:6" s="5" customFormat="1" ht="12" customHeight="1" x14ac:dyDescent="0.2">
      <c r="A26" s="4" t="s">
        <v>29</v>
      </c>
      <c r="B26" s="34">
        <v>590000</v>
      </c>
      <c r="C26" s="34">
        <f>74725+62925</f>
        <v>137650</v>
      </c>
      <c r="D26" s="34">
        <f t="shared" si="0"/>
        <v>727650</v>
      </c>
    </row>
    <row r="27" spans="1:6" s="5" customFormat="1" ht="12" customHeight="1" x14ac:dyDescent="0.2">
      <c r="A27" s="4" t="s">
        <v>45</v>
      </c>
      <c r="B27" s="34">
        <v>615000</v>
      </c>
      <c r="C27" s="34">
        <f>62925+50625</f>
        <v>113550</v>
      </c>
      <c r="D27" s="34">
        <f t="shared" si="0"/>
        <v>728550</v>
      </c>
    </row>
    <row r="28" spans="1:6" s="5" customFormat="1" ht="12" customHeight="1" x14ac:dyDescent="0.2">
      <c r="A28" s="4" t="s">
        <v>53</v>
      </c>
      <c r="B28" s="34">
        <v>635000</v>
      </c>
      <c r="C28" s="34">
        <f>50625+41100</f>
        <v>91725</v>
      </c>
      <c r="D28" s="34">
        <f t="shared" si="0"/>
        <v>726725</v>
      </c>
    </row>
    <row r="29" spans="1:6" s="5" customFormat="1" ht="12" customHeight="1" x14ac:dyDescent="0.2">
      <c r="A29" s="4" t="s">
        <v>56</v>
      </c>
      <c r="B29" s="34">
        <v>655000</v>
      </c>
      <c r="C29" s="34">
        <f>41100+31275</f>
        <v>72375</v>
      </c>
      <c r="D29" s="34">
        <f t="shared" si="0"/>
        <v>727375</v>
      </c>
    </row>
    <row r="30" spans="1:6" s="5" customFormat="1" ht="12" customHeight="1" x14ac:dyDescent="0.2">
      <c r="A30" s="4" t="s">
        <v>79</v>
      </c>
      <c r="B30" s="34">
        <v>675000</v>
      </c>
      <c r="C30" s="34">
        <f>31275+21150</f>
        <v>52425</v>
      </c>
      <c r="D30" s="34">
        <f t="shared" si="0"/>
        <v>727425</v>
      </c>
    </row>
    <row r="31" spans="1:6" s="5" customFormat="1" ht="12" customHeight="1" x14ac:dyDescent="0.2">
      <c r="A31" s="4" t="s">
        <v>86</v>
      </c>
      <c r="B31" s="34">
        <v>695000</v>
      </c>
      <c r="C31" s="34">
        <f>21150+10725</f>
        <v>31875</v>
      </c>
      <c r="D31" s="34">
        <f t="shared" si="0"/>
        <v>726875</v>
      </c>
    </row>
    <row r="32" spans="1:6" s="5" customFormat="1" ht="12" customHeight="1" x14ac:dyDescent="0.2">
      <c r="A32" s="4" t="s">
        <v>99</v>
      </c>
      <c r="B32" s="34">
        <v>715000</v>
      </c>
      <c r="C32" s="34">
        <v>10725</v>
      </c>
      <c r="D32" s="34">
        <f t="shared" si="0"/>
        <v>725725</v>
      </c>
    </row>
    <row r="33" spans="1:4" x14ac:dyDescent="0.25">
      <c r="A33" s="6" t="s">
        <v>4</v>
      </c>
      <c r="B33" s="35">
        <f>SUM(B14:B32)</f>
        <v>10075000</v>
      </c>
      <c r="C33" s="35">
        <f>SUM(C14:C32)</f>
        <v>3726425</v>
      </c>
      <c r="D33" s="35">
        <f>SUM(D14:D32)</f>
        <v>13801425</v>
      </c>
    </row>
    <row r="34" spans="1:4" x14ac:dyDescent="0.25">
      <c r="A34" s="7"/>
      <c r="B34" s="36"/>
      <c r="C34" s="36"/>
      <c r="D34" s="36"/>
    </row>
    <row r="35" spans="1:4" x14ac:dyDescent="0.25">
      <c r="A35" s="7"/>
      <c r="B35" s="36"/>
      <c r="C35" s="36"/>
      <c r="D35" s="36"/>
    </row>
    <row r="36" spans="1:4" x14ac:dyDescent="0.25">
      <c r="A36" s="7"/>
      <c r="B36" s="36"/>
      <c r="C36" s="36"/>
      <c r="D36" s="36"/>
    </row>
    <row r="37" spans="1:4" x14ac:dyDescent="0.25">
      <c r="A37" s="7"/>
      <c r="B37" s="36"/>
      <c r="C37" s="36"/>
      <c r="D37" s="36"/>
    </row>
    <row r="38" spans="1:4" x14ac:dyDescent="0.25">
      <c r="A38" s="7"/>
      <c r="B38" s="36"/>
      <c r="C38" s="36"/>
      <c r="D38" s="36"/>
    </row>
    <row r="39" spans="1:4" x14ac:dyDescent="0.25">
      <c r="A39" s="7"/>
      <c r="B39" s="36"/>
      <c r="C39" s="36"/>
      <c r="D39" s="36"/>
    </row>
    <row r="40" spans="1:4" x14ac:dyDescent="0.25">
      <c r="A40" s="7"/>
      <c r="B40" s="36"/>
      <c r="C40" s="36"/>
      <c r="D40" s="36"/>
    </row>
    <row r="41" spans="1:4" x14ac:dyDescent="0.25">
      <c r="A41" s="7"/>
      <c r="B41" s="36"/>
      <c r="C41" s="36"/>
      <c r="D41" s="36"/>
    </row>
    <row r="42" spans="1:4" x14ac:dyDescent="0.25">
      <c r="B42" s="36"/>
      <c r="C42" s="36"/>
      <c r="D42" s="36"/>
    </row>
    <row r="43" spans="1:4" x14ac:dyDescent="0.25">
      <c r="B43" s="36"/>
      <c r="C43" s="36"/>
      <c r="D43" s="36"/>
    </row>
    <row r="44" spans="1:4" x14ac:dyDescent="0.25">
      <c r="B44" s="36"/>
      <c r="C44" s="36"/>
      <c r="D44" s="36"/>
    </row>
    <row r="45" spans="1:4" x14ac:dyDescent="0.25">
      <c r="B45" s="36"/>
      <c r="C45" s="36"/>
      <c r="D45" s="36"/>
    </row>
    <row r="46" spans="1:4" x14ac:dyDescent="0.25">
      <c r="B46" s="36"/>
      <c r="C46" s="36"/>
      <c r="D46" s="36"/>
    </row>
    <row r="47" spans="1:4" x14ac:dyDescent="0.25">
      <c r="B47" s="36"/>
      <c r="C47" s="36"/>
      <c r="D47" s="36"/>
    </row>
    <row r="48" spans="1:4" x14ac:dyDescent="0.25">
      <c r="B48" s="36"/>
      <c r="C48" s="36"/>
      <c r="D48" s="36"/>
    </row>
    <row r="49" spans="2:4" x14ac:dyDescent="0.25">
      <c r="B49" s="36"/>
      <c r="C49" s="36"/>
      <c r="D49" s="36"/>
    </row>
    <row r="50" spans="2:4" x14ac:dyDescent="0.25">
      <c r="B50" s="36"/>
      <c r="C50" s="36"/>
      <c r="D50" s="36"/>
    </row>
    <row r="51" spans="2:4" x14ac:dyDescent="0.25">
      <c r="B51" s="36"/>
      <c r="C51" s="36"/>
      <c r="D51" s="36"/>
    </row>
  </sheetData>
  <mergeCells count="8">
    <mergeCell ref="A11:D11"/>
    <mergeCell ref="A1:D1"/>
    <mergeCell ref="A2:D2"/>
    <mergeCell ref="A3:D3"/>
    <mergeCell ref="A4:D4"/>
    <mergeCell ref="A5:D5"/>
    <mergeCell ref="A6:D8"/>
    <mergeCell ref="A9:D9"/>
  </mergeCells>
  <pageMargins left="0.75" right="0.4" top="0.75" bottom="0.75" header="0.5" footer="0.5"/>
  <pageSetup scale="90" firstPageNumber="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D33"/>
  <sheetViews>
    <sheetView tabSelected="1" workbookViewId="0">
      <selection activeCell="I14" sqref="I14"/>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6" x14ac:dyDescent="0.3">
      <c r="A4" s="70" t="s">
        <v>147</v>
      </c>
      <c r="B4" s="70"/>
      <c r="C4" s="70"/>
      <c r="D4" s="70"/>
    </row>
    <row r="5" spans="1:4" ht="15.6" x14ac:dyDescent="0.3">
      <c r="A5" s="70" t="s">
        <v>148</v>
      </c>
      <c r="B5" s="70"/>
      <c r="C5" s="70"/>
      <c r="D5" s="70"/>
    </row>
    <row r="6" spans="1:4" ht="15" customHeight="1" x14ac:dyDescent="0.3">
      <c r="A6" s="70" t="s">
        <v>30</v>
      </c>
      <c r="B6" s="70"/>
      <c r="C6" s="70"/>
      <c r="D6" s="70"/>
    </row>
    <row r="7" spans="1:4" ht="15" customHeight="1" x14ac:dyDescent="0.25">
      <c r="A7" s="71" t="s">
        <v>31</v>
      </c>
      <c r="B7" s="71"/>
      <c r="C7" s="71"/>
      <c r="D7" s="71"/>
    </row>
    <row r="8" spans="1:4" ht="15" customHeight="1" x14ac:dyDescent="0.25">
      <c r="A8" s="71"/>
      <c r="B8" s="71"/>
      <c r="C8" s="71"/>
      <c r="D8" s="71"/>
    </row>
    <row r="9" spans="1:4" ht="15" customHeight="1" x14ac:dyDescent="0.25">
      <c r="A9" s="72" t="s">
        <v>124</v>
      </c>
      <c r="B9" s="72"/>
      <c r="C9" s="72"/>
      <c r="D9" s="72"/>
    </row>
    <row r="10" spans="1:4" ht="9" customHeight="1" x14ac:dyDescent="0.3">
      <c r="A10" s="2"/>
      <c r="B10" s="2"/>
      <c r="C10" s="2"/>
      <c r="D10" s="2"/>
    </row>
    <row r="11" spans="1:4" ht="9" customHeight="1" x14ac:dyDescent="0.25">
      <c r="A11" s="68"/>
      <c r="B11" s="68"/>
      <c r="C11" s="68"/>
      <c r="D11" s="68"/>
    </row>
    <row r="12" spans="1:4" x14ac:dyDescent="0.25">
      <c r="A12" s="3" t="s">
        <v>47</v>
      </c>
      <c r="B12" s="39" t="s">
        <v>48</v>
      </c>
      <c r="C12" s="39" t="s">
        <v>49</v>
      </c>
      <c r="D12" s="39" t="s">
        <v>50</v>
      </c>
    </row>
    <row r="13" spans="1:4" ht="5.25" customHeight="1" x14ac:dyDescent="0.25"/>
    <row r="14" spans="1:4" s="5" customFormat="1" ht="11.4" x14ac:dyDescent="0.2">
      <c r="A14" s="4" t="s">
        <v>6</v>
      </c>
      <c r="B14" s="34">
        <v>243000</v>
      </c>
      <c r="C14" s="34">
        <v>48049.24</v>
      </c>
      <c r="D14" s="34">
        <f>+B14+C14</f>
        <v>291049.24</v>
      </c>
    </row>
    <row r="15" spans="1:4" s="5" customFormat="1" ht="11.4" x14ac:dyDescent="0.2">
      <c r="A15" s="4" t="s">
        <v>7</v>
      </c>
      <c r="B15" s="34">
        <v>249480</v>
      </c>
      <c r="C15" s="34">
        <v>43240.26</v>
      </c>
      <c r="D15" s="34">
        <f t="shared" ref="D15:D21" si="0">+B15+C15</f>
        <v>292720.26</v>
      </c>
    </row>
    <row r="16" spans="1:4" s="5" customFormat="1" ht="11.4" x14ac:dyDescent="0.2">
      <c r="A16" s="4" t="s">
        <v>8</v>
      </c>
      <c r="B16" s="34">
        <v>255960</v>
      </c>
      <c r="C16" s="34">
        <v>38021.14</v>
      </c>
      <c r="D16" s="34">
        <f t="shared" si="0"/>
        <v>293981.14</v>
      </c>
    </row>
    <row r="17" spans="1:4" s="5" customFormat="1" ht="11.4" x14ac:dyDescent="0.2">
      <c r="A17" s="4" t="s">
        <v>9</v>
      </c>
      <c r="B17" s="34">
        <v>262440</v>
      </c>
      <c r="C17" s="34">
        <v>32410.5</v>
      </c>
      <c r="D17" s="34">
        <f t="shared" si="0"/>
        <v>294850.5</v>
      </c>
    </row>
    <row r="18" spans="1:4" s="5" customFormat="1" ht="11.4" x14ac:dyDescent="0.2">
      <c r="A18" s="4" t="s">
        <v>10</v>
      </c>
      <c r="B18" s="34">
        <v>268920</v>
      </c>
      <c r="C18" s="34">
        <v>26424.240000000002</v>
      </c>
      <c r="D18" s="34">
        <f t="shared" si="0"/>
        <v>295344.24</v>
      </c>
    </row>
    <row r="19" spans="1:4" s="5" customFormat="1" ht="11.4" x14ac:dyDescent="0.2">
      <c r="A19" s="4" t="s">
        <v>11</v>
      </c>
      <c r="B19" s="34">
        <v>275400</v>
      </c>
      <c r="C19" s="34">
        <v>20069.66</v>
      </c>
      <c r="D19" s="34">
        <f t="shared" si="0"/>
        <v>295469.65999999997</v>
      </c>
    </row>
    <row r="20" spans="1:4" s="5" customFormat="1" ht="11.4" x14ac:dyDescent="0.2">
      <c r="A20" s="4" t="s">
        <v>16</v>
      </c>
      <c r="B20" s="34">
        <v>281880</v>
      </c>
      <c r="C20" s="34">
        <v>13358.16</v>
      </c>
      <c r="D20" s="34">
        <f t="shared" si="0"/>
        <v>295238.15999999997</v>
      </c>
    </row>
    <row r="21" spans="1:4" s="5" customFormat="1" ht="11.4" x14ac:dyDescent="0.2">
      <c r="A21" s="4" t="s">
        <v>22</v>
      </c>
      <c r="B21" s="34">
        <v>255960</v>
      </c>
      <c r="C21" s="34">
        <v>6347.8</v>
      </c>
      <c r="D21" s="34">
        <f t="shared" si="0"/>
        <v>262307.8</v>
      </c>
    </row>
    <row r="22" spans="1:4" s="5" customFormat="1" ht="12" x14ac:dyDescent="0.25">
      <c r="A22" s="6" t="s">
        <v>4</v>
      </c>
      <c r="B22" s="35">
        <f>SUM(B13:B21)</f>
        <v>2093040</v>
      </c>
      <c r="C22" s="35">
        <f>SUM(C13:C21)</f>
        <v>227921</v>
      </c>
      <c r="D22" s="35">
        <f>SUM(D13:D21)</f>
        <v>2320961</v>
      </c>
    </row>
    <row r="23" spans="1:4" x14ac:dyDescent="0.25">
      <c r="A23" s="7"/>
      <c r="C23" s="19"/>
      <c r="D23" s="19"/>
    </row>
    <row r="24" spans="1:4" x14ac:dyDescent="0.25">
      <c r="A24" s="7"/>
      <c r="B24" s="19"/>
      <c r="C24" s="19"/>
      <c r="D24" s="19"/>
    </row>
    <row r="25" spans="1:4" x14ac:dyDescent="0.25">
      <c r="A25" s="7"/>
      <c r="B25" s="19"/>
      <c r="C25" s="19"/>
      <c r="D25" s="19"/>
    </row>
    <row r="26" spans="1:4" x14ac:dyDescent="0.25">
      <c r="B26" s="36"/>
      <c r="C26" s="36"/>
      <c r="D26" s="36"/>
    </row>
    <row r="27" spans="1:4" x14ac:dyDescent="0.25">
      <c r="A27" s="1"/>
      <c r="B27" s="36"/>
      <c r="C27" s="36"/>
      <c r="D27" s="36"/>
    </row>
    <row r="28" spans="1:4" x14ac:dyDescent="0.25">
      <c r="A28" s="1"/>
      <c r="B28" s="36"/>
      <c r="C28" s="36"/>
      <c r="D28" s="36"/>
    </row>
    <row r="29" spans="1:4" x14ac:dyDescent="0.25">
      <c r="A29" s="1"/>
      <c r="B29" s="36"/>
      <c r="C29" s="36"/>
      <c r="D29" s="36"/>
    </row>
    <row r="30" spans="1:4" x14ac:dyDescent="0.25">
      <c r="A30" s="1"/>
      <c r="B30" s="36"/>
      <c r="C30" s="36"/>
      <c r="D30" s="36"/>
    </row>
    <row r="31" spans="1:4" x14ac:dyDescent="0.25">
      <c r="A31" s="1"/>
      <c r="B31" s="36"/>
      <c r="C31" s="36"/>
      <c r="D31" s="36"/>
    </row>
    <row r="32" spans="1:4" x14ac:dyDescent="0.25">
      <c r="A32" s="1"/>
      <c r="B32" s="36"/>
      <c r="C32" s="36"/>
      <c r="D32" s="36"/>
    </row>
    <row r="33" spans="1:4" x14ac:dyDescent="0.25">
      <c r="A33" s="1"/>
      <c r="B33" s="36"/>
      <c r="C33" s="36"/>
      <c r="D33" s="36"/>
    </row>
  </sheetData>
  <mergeCells count="9">
    <mergeCell ref="A11:D11"/>
    <mergeCell ref="A1:D1"/>
    <mergeCell ref="A2:D2"/>
    <mergeCell ref="A3:D3"/>
    <mergeCell ref="A4:D4"/>
    <mergeCell ref="A6:D6"/>
    <mergeCell ref="A7:D8"/>
    <mergeCell ref="A9:D9"/>
    <mergeCell ref="A5:D5"/>
  </mergeCells>
  <pageMargins left="0.75" right="0.4" top="0.75" bottom="0.75" header="0.5" footer="0.5"/>
  <pageSetup scale="90" firstPageNumber="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7DC54-DC69-4393-B7BB-2BD3D88507E2}">
  <sheetPr>
    <tabColor rgb="FF00B0F0"/>
  </sheetPr>
  <dimension ref="A1:F52"/>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136</v>
      </c>
      <c r="B4" s="70"/>
      <c r="C4" s="70"/>
      <c r="D4" s="70"/>
    </row>
    <row r="5" spans="1:4" ht="15" customHeight="1" x14ac:dyDescent="0.3">
      <c r="A5" s="70" t="s">
        <v>137</v>
      </c>
      <c r="B5" s="70"/>
      <c r="C5" s="70"/>
      <c r="D5" s="70"/>
    </row>
    <row r="6" spans="1:4" ht="8.25" customHeight="1" x14ac:dyDescent="0.25">
      <c r="A6" s="73" t="s">
        <v>140</v>
      </c>
      <c r="B6" s="73"/>
      <c r="C6" s="73"/>
      <c r="D6" s="73"/>
    </row>
    <row r="7" spans="1:4" ht="15" customHeight="1" x14ac:dyDescent="0.25">
      <c r="A7" s="73"/>
      <c r="B7" s="73"/>
      <c r="C7" s="73"/>
      <c r="D7" s="73"/>
    </row>
    <row r="8" spans="1:4" ht="23.25" customHeight="1" x14ac:dyDescent="0.25">
      <c r="A8" s="73"/>
      <c r="B8" s="73"/>
      <c r="C8" s="73"/>
      <c r="D8" s="73"/>
    </row>
    <row r="9" spans="1:4" ht="15" customHeight="1" x14ac:dyDescent="0.25">
      <c r="A9" s="72" t="s">
        <v>139</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c r="A13" s="4"/>
      <c r="B13" s="34"/>
      <c r="C13" s="34"/>
      <c r="D13" s="34"/>
    </row>
    <row r="14" spans="1:4" s="5" customFormat="1" ht="12" customHeight="1" x14ac:dyDescent="0.2">
      <c r="A14" s="4" t="s">
        <v>6</v>
      </c>
      <c r="B14" s="34">
        <v>445000</v>
      </c>
      <c r="C14" s="34">
        <v>1209310.07</v>
      </c>
      <c r="D14" s="34">
        <f t="shared" ref="D14:D33" si="0">+B14+C14</f>
        <v>1654310.07</v>
      </c>
    </row>
    <row r="15" spans="1:4" s="5" customFormat="1" ht="12" customHeight="1" x14ac:dyDescent="0.2">
      <c r="A15" s="4" t="s">
        <v>7</v>
      </c>
      <c r="B15" s="34">
        <v>760000</v>
      </c>
      <c r="C15" s="34">
        <v>890275</v>
      </c>
      <c r="D15" s="34">
        <f t="shared" si="0"/>
        <v>1650275</v>
      </c>
    </row>
    <row r="16" spans="1:4" s="5" customFormat="1" ht="12" customHeight="1" x14ac:dyDescent="0.2">
      <c r="A16" s="4" t="s">
        <v>8</v>
      </c>
      <c r="B16" s="34">
        <v>790000</v>
      </c>
      <c r="C16" s="34">
        <v>861250</v>
      </c>
      <c r="D16" s="34">
        <f t="shared" si="0"/>
        <v>1651250</v>
      </c>
    </row>
    <row r="17" spans="1:6" s="5" customFormat="1" ht="12" customHeight="1" x14ac:dyDescent="0.2">
      <c r="A17" s="4" t="s">
        <v>9</v>
      </c>
      <c r="B17" s="34">
        <v>815000</v>
      </c>
      <c r="C17" s="34">
        <v>833162.5</v>
      </c>
      <c r="D17" s="34">
        <f t="shared" si="0"/>
        <v>1648162.5</v>
      </c>
    </row>
    <row r="18" spans="1:6" s="5" customFormat="1" ht="12" customHeight="1" x14ac:dyDescent="0.2">
      <c r="A18" s="4" t="s">
        <v>10</v>
      </c>
      <c r="B18" s="34">
        <v>850000</v>
      </c>
      <c r="C18" s="34">
        <v>804025</v>
      </c>
      <c r="D18" s="34">
        <f t="shared" si="0"/>
        <v>1654025</v>
      </c>
    </row>
    <row r="19" spans="1:6" s="5" customFormat="1" ht="12" customHeight="1" x14ac:dyDescent="0.3">
      <c r="A19" s="4" t="s">
        <v>11</v>
      </c>
      <c r="B19" s="34">
        <v>885000</v>
      </c>
      <c r="C19" s="34">
        <v>767025</v>
      </c>
      <c r="D19" s="34">
        <f t="shared" si="0"/>
        <v>1652025</v>
      </c>
      <c r="F19" s="45"/>
    </row>
    <row r="20" spans="1:6" s="5" customFormat="1" ht="12" customHeight="1" x14ac:dyDescent="0.3">
      <c r="A20" s="4" t="s">
        <v>16</v>
      </c>
      <c r="B20" s="34">
        <v>930000</v>
      </c>
      <c r="C20" s="34">
        <v>721650</v>
      </c>
      <c r="D20" s="34">
        <f t="shared" si="0"/>
        <v>1651650</v>
      </c>
      <c r="F20" s="45"/>
    </row>
    <row r="21" spans="1:6" s="5" customFormat="1" ht="12" customHeight="1" x14ac:dyDescent="0.2">
      <c r="A21" s="4" t="s">
        <v>22</v>
      </c>
      <c r="B21" s="34">
        <v>975000</v>
      </c>
      <c r="C21" s="34">
        <v>674025</v>
      </c>
      <c r="D21" s="34">
        <f t="shared" si="0"/>
        <v>1649025</v>
      </c>
    </row>
    <row r="22" spans="1:6" s="5" customFormat="1" ht="12" customHeight="1" x14ac:dyDescent="0.2">
      <c r="A22" s="4" t="s">
        <v>23</v>
      </c>
      <c r="B22" s="34">
        <v>1025000</v>
      </c>
      <c r="C22" s="34">
        <v>624025</v>
      </c>
      <c r="D22" s="34">
        <f t="shared" si="0"/>
        <v>1649025</v>
      </c>
    </row>
    <row r="23" spans="1:6" s="5" customFormat="1" ht="12" customHeight="1" x14ac:dyDescent="0.2">
      <c r="A23" s="4" t="s">
        <v>24</v>
      </c>
      <c r="B23" s="34">
        <v>1080000</v>
      </c>
      <c r="C23" s="34">
        <v>571400</v>
      </c>
      <c r="D23" s="34">
        <f t="shared" si="0"/>
        <v>1651400</v>
      </c>
    </row>
    <row r="24" spans="1:6" s="5" customFormat="1" ht="12" customHeight="1" x14ac:dyDescent="0.2">
      <c r="A24" s="4" t="s">
        <v>25</v>
      </c>
      <c r="B24" s="34">
        <v>1130000</v>
      </c>
      <c r="C24" s="34">
        <v>521800</v>
      </c>
      <c r="D24" s="34">
        <f t="shared" si="0"/>
        <v>1651800</v>
      </c>
    </row>
    <row r="25" spans="1:6" s="5" customFormat="1" ht="12" customHeight="1" x14ac:dyDescent="0.2">
      <c r="A25" s="4" t="s">
        <v>28</v>
      </c>
      <c r="B25" s="34">
        <v>1175000</v>
      </c>
      <c r="C25" s="34">
        <v>475700</v>
      </c>
      <c r="D25" s="34">
        <f t="shared" si="0"/>
        <v>1650700</v>
      </c>
    </row>
    <row r="26" spans="1:6" s="5" customFormat="1" ht="12" customHeight="1" x14ac:dyDescent="0.2">
      <c r="A26" s="4" t="s">
        <v>29</v>
      </c>
      <c r="B26" s="34">
        <v>1220000</v>
      </c>
      <c r="C26" s="34">
        <v>427800</v>
      </c>
      <c r="D26" s="34">
        <f t="shared" si="0"/>
        <v>1647800</v>
      </c>
    </row>
    <row r="27" spans="1:6" s="5" customFormat="1" ht="12" customHeight="1" x14ac:dyDescent="0.2">
      <c r="A27" s="4" t="s">
        <v>45</v>
      </c>
      <c r="B27" s="34">
        <v>1275000</v>
      </c>
      <c r="C27" s="34">
        <v>377900</v>
      </c>
      <c r="D27" s="34">
        <f t="shared" si="0"/>
        <v>1652900</v>
      </c>
    </row>
    <row r="28" spans="1:6" s="5" customFormat="1" ht="12" customHeight="1" x14ac:dyDescent="0.2">
      <c r="A28" s="4" t="s">
        <v>53</v>
      </c>
      <c r="B28" s="34">
        <v>1325000</v>
      </c>
      <c r="C28" s="34">
        <v>325900</v>
      </c>
      <c r="D28" s="34">
        <f t="shared" si="0"/>
        <v>1650900</v>
      </c>
    </row>
    <row r="29" spans="1:6" s="5" customFormat="1" ht="12" customHeight="1" x14ac:dyDescent="0.2">
      <c r="A29" s="4" t="s">
        <v>56</v>
      </c>
      <c r="B29" s="34">
        <v>1380000</v>
      </c>
      <c r="C29" s="34">
        <v>271800</v>
      </c>
      <c r="D29" s="34">
        <f t="shared" si="0"/>
        <v>1651800</v>
      </c>
    </row>
    <row r="30" spans="1:6" s="5" customFormat="1" ht="12" customHeight="1" x14ac:dyDescent="0.2">
      <c r="A30" s="4" t="s">
        <v>79</v>
      </c>
      <c r="B30" s="34">
        <v>1435000</v>
      </c>
      <c r="C30" s="34">
        <v>215500</v>
      </c>
      <c r="D30" s="34">
        <f t="shared" si="0"/>
        <v>1650500</v>
      </c>
    </row>
    <row r="31" spans="1:6" s="5" customFormat="1" ht="12" customHeight="1" x14ac:dyDescent="0.2">
      <c r="A31" s="4" t="s">
        <v>86</v>
      </c>
      <c r="B31" s="34">
        <v>1495000</v>
      </c>
      <c r="C31" s="34">
        <v>156900</v>
      </c>
      <c r="D31" s="34">
        <f t="shared" si="0"/>
        <v>1651900</v>
      </c>
    </row>
    <row r="32" spans="1:6" s="5" customFormat="1" ht="12" customHeight="1" x14ac:dyDescent="0.2">
      <c r="A32" s="4" t="s">
        <v>99</v>
      </c>
      <c r="B32" s="34">
        <v>1555000</v>
      </c>
      <c r="C32" s="34">
        <v>95900</v>
      </c>
      <c r="D32" s="34">
        <f t="shared" si="0"/>
        <v>1650900</v>
      </c>
    </row>
    <row r="33" spans="1:4" s="5" customFormat="1" ht="12" customHeight="1" x14ac:dyDescent="0.2">
      <c r="A33" s="4" t="s">
        <v>138</v>
      </c>
      <c r="B33" s="34">
        <v>1620000</v>
      </c>
      <c r="C33" s="34">
        <v>32400</v>
      </c>
      <c r="D33" s="34">
        <f t="shared" si="0"/>
        <v>1652400</v>
      </c>
    </row>
    <row r="34" spans="1:4" x14ac:dyDescent="0.25">
      <c r="A34" s="6" t="s">
        <v>4</v>
      </c>
      <c r="B34" s="35">
        <f>SUM(B14:B33)</f>
        <v>22165000</v>
      </c>
      <c r="C34" s="35">
        <f t="shared" ref="C34" si="1">SUM(C14:C33)</f>
        <v>10857747.57</v>
      </c>
      <c r="D34" s="35">
        <f>SUM(D14:D33)</f>
        <v>33022747.57</v>
      </c>
    </row>
    <row r="35" spans="1:4" x14ac:dyDescent="0.25">
      <c r="A35" s="7"/>
      <c r="B35" s="36"/>
      <c r="C35" s="36"/>
      <c r="D35" s="36"/>
    </row>
    <row r="36" spans="1:4" x14ac:dyDescent="0.25">
      <c r="A36" s="7"/>
      <c r="B36" s="36"/>
      <c r="C36" s="36"/>
      <c r="D36" s="36"/>
    </row>
    <row r="37" spans="1:4" x14ac:dyDescent="0.25">
      <c r="A37" s="7"/>
      <c r="B37" s="36"/>
      <c r="C37" s="36"/>
      <c r="D37" s="36"/>
    </row>
    <row r="38" spans="1:4" x14ac:dyDescent="0.25">
      <c r="A38" s="7"/>
      <c r="B38" s="36"/>
      <c r="C38" s="36"/>
      <c r="D38" s="36"/>
    </row>
    <row r="39" spans="1:4" x14ac:dyDescent="0.25">
      <c r="A39" s="7"/>
      <c r="B39" s="36"/>
      <c r="C39" s="36"/>
      <c r="D39" s="36"/>
    </row>
    <row r="40" spans="1:4" x14ac:dyDescent="0.25">
      <c r="A40" s="7"/>
      <c r="B40" s="36"/>
      <c r="C40" s="36"/>
      <c r="D40" s="36"/>
    </row>
    <row r="41" spans="1:4" x14ac:dyDescent="0.25">
      <c r="A41" s="7"/>
      <c r="B41" s="36"/>
      <c r="C41" s="36"/>
      <c r="D41" s="36"/>
    </row>
    <row r="42" spans="1:4" x14ac:dyDescent="0.25">
      <c r="A42" s="7"/>
      <c r="B42" s="36"/>
      <c r="C42" s="36"/>
      <c r="D42" s="36"/>
    </row>
    <row r="43" spans="1:4" x14ac:dyDescent="0.25">
      <c r="B43" s="36"/>
      <c r="C43" s="36"/>
      <c r="D43" s="36"/>
    </row>
    <row r="44" spans="1:4" x14ac:dyDescent="0.25">
      <c r="B44" s="36"/>
      <c r="C44" s="36"/>
      <c r="D44" s="36"/>
    </row>
    <row r="45" spans="1:4" x14ac:dyDescent="0.25">
      <c r="B45" s="36"/>
      <c r="C45" s="36"/>
      <c r="D45" s="36"/>
    </row>
    <row r="46" spans="1:4" x14ac:dyDescent="0.25">
      <c r="B46" s="36"/>
      <c r="C46" s="36"/>
      <c r="D46" s="36"/>
    </row>
    <row r="47" spans="1:4" x14ac:dyDescent="0.25">
      <c r="B47" s="36"/>
      <c r="C47" s="36"/>
      <c r="D47" s="36"/>
    </row>
    <row r="48" spans="1:4" x14ac:dyDescent="0.25">
      <c r="B48" s="36"/>
      <c r="C48" s="36"/>
      <c r="D48" s="36"/>
    </row>
    <row r="49" spans="2:4" x14ac:dyDescent="0.25">
      <c r="B49" s="36"/>
      <c r="C49" s="36"/>
      <c r="D49" s="36"/>
    </row>
    <row r="50" spans="2:4" x14ac:dyDescent="0.25">
      <c r="B50" s="36"/>
      <c r="C50" s="36"/>
      <c r="D50" s="36"/>
    </row>
    <row r="51" spans="2:4" x14ac:dyDescent="0.25">
      <c r="B51" s="36"/>
      <c r="C51" s="36"/>
      <c r="D51" s="36"/>
    </row>
    <row r="52" spans="2:4" x14ac:dyDescent="0.25">
      <c r="B52" s="36"/>
      <c r="C52" s="36"/>
      <c r="D52" s="36"/>
    </row>
  </sheetData>
  <mergeCells count="8">
    <mergeCell ref="A9:D9"/>
    <mergeCell ref="A11:D11"/>
    <mergeCell ref="A1:D1"/>
    <mergeCell ref="A2:D2"/>
    <mergeCell ref="A3:D3"/>
    <mergeCell ref="A4:D4"/>
    <mergeCell ref="A5:D5"/>
    <mergeCell ref="A6:D8"/>
  </mergeCells>
  <phoneticPr fontId="11" type="noConversion"/>
  <pageMargins left="0.75" right="0.4" top="0.75" bottom="0.75" header="0.5" footer="0.5"/>
  <pageSetup scale="90" firstPageNumber="0"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4AECA-E13B-4638-8843-8615F737470D}">
  <sheetPr>
    <tabColor rgb="FF00B0F0"/>
  </sheetPr>
  <dimension ref="A1:F52"/>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152</v>
      </c>
      <c r="B4" s="70"/>
      <c r="C4" s="70"/>
      <c r="D4" s="70"/>
    </row>
    <row r="5" spans="1:4" ht="15" customHeight="1" x14ac:dyDescent="0.3">
      <c r="A5" s="70" t="s">
        <v>142</v>
      </c>
      <c r="B5" s="70"/>
      <c r="C5" s="70"/>
      <c r="D5" s="70"/>
    </row>
    <row r="6" spans="1:4" ht="8.25" customHeight="1" x14ac:dyDescent="0.25">
      <c r="A6" s="73" t="s">
        <v>145</v>
      </c>
      <c r="B6" s="73"/>
      <c r="C6" s="73"/>
      <c r="D6" s="73"/>
    </row>
    <row r="7" spans="1:4" ht="15" customHeight="1" x14ac:dyDescent="0.25">
      <c r="A7" s="73"/>
      <c r="B7" s="73"/>
      <c r="C7" s="73"/>
      <c r="D7" s="73"/>
    </row>
    <row r="8" spans="1:4" ht="23.25" customHeight="1" x14ac:dyDescent="0.25">
      <c r="A8" s="73"/>
      <c r="B8" s="73"/>
      <c r="C8" s="73"/>
      <c r="D8" s="73"/>
    </row>
    <row r="9" spans="1:4" ht="15" customHeight="1" x14ac:dyDescent="0.25">
      <c r="A9" s="72" t="s">
        <v>143</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c r="A13" s="4"/>
      <c r="B13" s="34"/>
      <c r="C13" s="34"/>
      <c r="D13" s="34"/>
    </row>
    <row r="14" spans="1:4" s="5" customFormat="1" ht="12" customHeight="1" x14ac:dyDescent="0.2">
      <c r="A14" s="4" t="s">
        <v>6</v>
      </c>
      <c r="B14" s="34">
        <v>110000</v>
      </c>
      <c r="C14" s="34">
        <v>246100.21</v>
      </c>
      <c r="D14" s="34">
        <f t="shared" ref="D14:D33" si="0">+B14+C14</f>
        <v>356100.20999999996</v>
      </c>
    </row>
    <row r="15" spans="1:4" s="5" customFormat="1" ht="12" customHeight="1" x14ac:dyDescent="0.2">
      <c r="A15" s="4" t="s">
        <v>7</v>
      </c>
      <c r="B15" s="34">
        <v>160000</v>
      </c>
      <c r="C15" s="34">
        <v>193943.5</v>
      </c>
      <c r="D15" s="34">
        <f t="shared" si="0"/>
        <v>353943.5</v>
      </c>
    </row>
    <row r="16" spans="1:4" s="5" customFormat="1" ht="12" customHeight="1" x14ac:dyDescent="0.2">
      <c r="A16" s="4" t="s">
        <v>8</v>
      </c>
      <c r="B16" s="34">
        <v>165000</v>
      </c>
      <c r="C16" s="34">
        <v>188870.25</v>
      </c>
      <c r="D16" s="34">
        <f t="shared" si="0"/>
        <v>353870.25</v>
      </c>
    </row>
    <row r="17" spans="1:6" s="5" customFormat="1" ht="12" customHeight="1" x14ac:dyDescent="0.2">
      <c r="A17" s="4" t="s">
        <v>9</v>
      </c>
      <c r="B17" s="34">
        <v>170000</v>
      </c>
      <c r="C17" s="34">
        <v>183265</v>
      </c>
      <c r="D17" s="34">
        <f t="shared" si="0"/>
        <v>353265</v>
      </c>
    </row>
    <row r="18" spans="1:6" s="5" customFormat="1" ht="12" customHeight="1" x14ac:dyDescent="0.2">
      <c r="A18" s="4" t="s">
        <v>10</v>
      </c>
      <c r="B18" s="34">
        <v>180000</v>
      </c>
      <c r="C18" s="34">
        <v>177155</v>
      </c>
      <c r="D18" s="34">
        <f t="shared" si="0"/>
        <v>357155</v>
      </c>
    </row>
    <row r="19" spans="1:6" s="5" customFormat="1" ht="12" customHeight="1" x14ac:dyDescent="0.3">
      <c r="A19" s="4" t="s">
        <v>11</v>
      </c>
      <c r="B19" s="34">
        <v>185000</v>
      </c>
      <c r="C19" s="34">
        <v>170565</v>
      </c>
      <c r="D19" s="34">
        <f t="shared" si="0"/>
        <v>355565</v>
      </c>
      <c r="F19" s="45"/>
    </row>
    <row r="20" spans="1:6" s="5" customFormat="1" ht="12" customHeight="1" x14ac:dyDescent="0.3">
      <c r="A20" s="4" t="s">
        <v>16</v>
      </c>
      <c r="B20" s="34">
        <v>190000</v>
      </c>
      <c r="C20" s="34">
        <v>163503.5</v>
      </c>
      <c r="D20" s="34">
        <f t="shared" si="0"/>
        <v>353503.5</v>
      </c>
      <c r="F20" s="45"/>
    </row>
    <row r="21" spans="1:6" s="5" customFormat="1" ht="12" customHeight="1" x14ac:dyDescent="0.2">
      <c r="A21" s="4" t="s">
        <v>22</v>
      </c>
      <c r="B21" s="34">
        <v>200000</v>
      </c>
      <c r="C21" s="34">
        <v>155826</v>
      </c>
      <c r="D21" s="34">
        <f t="shared" si="0"/>
        <v>355826</v>
      </c>
    </row>
    <row r="22" spans="1:6" s="5" customFormat="1" ht="12" customHeight="1" x14ac:dyDescent="0.2">
      <c r="A22" s="4" t="s">
        <v>23</v>
      </c>
      <c r="B22" s="34">
        <v>210000</v>
      </c>
      <c r="C22" s="34">
        <v>147480</v>
      </c>
      <c r="D22" s="34">
        <f t="shared" si="0"/>
        <v>357480</v>
      </c>
    </row>
    <row r="23" spans="1:6" s="5" customFormat="1" ht="12" customHeight="1" x14ac:dyDescent="0.2">
      <c r="A23" s="4" t="s">
        <v>24</v>
      </c>
      <c r="B23" s="34">
        <v>215000</v>
      </c>
      <c r="C23" s="34">
        <v>138617.5</v>
      </c>
      <c r="D23" s="34">
        <f t="shared" si="0"/>
        <v>353617.5</v>
      </c>
    </row>
    <row r="24" spans="1:6" s="5" customFormat="1" ht="12" customHeight="1" x14ac:dyDescent="0.2">
      <c r="A24" s="4" t="s">
        <v>25</v>
      </c>
      <c r="B24" s="34">
        <v>225000</v>
      </c>
      <c r="C24" s="34">
        <v>128861</v>
      </c>
      <c r="D24" s="34">
        <f t="shared" si="0"/>
        <v>353861</v>
      </c>
    </row>
    <row r="25" spans="1:6" s="5" customFormat="1" ht="12" customHeight="1" x14ac:dyDescent="0.2">
      <c r="A25" s="4" t="s">
        <v>28</v>
      </c>
      <c r="B25" s="34">
        <v>235000</v>
      </c>
      <c r="C25" s="34">
        <v>118189</v>
      </c>
      <c r="D25" s="34">
        <f t="shared" si="0"/>
        <v>353189</v>
      </c>
    </row>
    <row r="26" spans="1:6" s="5" customFormat="1" ht="12" customHeight="1" x14ac:dyDescent="0.2">
      <c r="A26" s="4" t="s">
        <v>29</v>
      </c>
      <c r="B26" s="34">
        <v>250000</v>
      </c>
      <c r="C26" s="34">
        <v>106937</v>
      </c>
      <c r="D26" s="34">
        <f t="shared" si="0"/>
        <v>356937</v>
      </c>
    </row>
    <row r="27" spans="1:6" s="5" customFormat="1" ht="12" customHeight="1" x14ac:dyDescent="0.2">
      <c r="A27" s="4" t="s">
        <v>45</v>
      </c>
      <c r="B27" s="34">
        <v>260000</v>
      </c>
      <c r="C27" s="34">
        <v>95105</v>
      </c>
      <c r="D27" s="34">
        <f t="shared" si="0"/>
        <v>355105</v>
      </c>
    </row>
    <row r="28" spans="1:6" s="5" customFormat="1" ht="12" customHeight="1" x14ac:dyDescent="0.2">
      <c r="A28" s="4" t="s">
        <v>53</v>
      </c>
      <c r="B28" s="34">
        <v>270000</v>
      </c>
      <c r="C28" s="34">
        <v>82809</v>
      </c>
      <c r="D28" s="34">
        <f t="shared" si="0"/>
        <v>352809</v>
      </c>
    </row>
    <row r="29" spans="1:6" s="5" customFormat="1" ht="12" customHeight="1" x14ac:dyDescent="0.2">
      <c r="A29" s="4" t="s">
        <v>56</v>
      </c>
      <c r="B29" s="34">
        <v>285000</v>
      </c>
      <c r="C29" s="34">
        <v>69619.5</v>
      </c>
      <c r="D29" s="34">
        <f t="shared" si="0"/>
        <v>354619.5</v>
      </c>
    </row>
    <row r="30" spans="1:6" s="5" customFormat="1" ht="12" customHeight="1" x14ac:dyDescent="0.2">
      <c r="A30" s="4" t="s">
        <v>79</v>
      </c>
      <c r="B30" s="34">
        <v>300000</v>
      </c>
      <c r="C30" s="34">
        <v>55404</v>
      </c>
      <c r="D30" s="34">
        <f t="shared" si="0"/>
        <v>355404</v>
      </c>
    </row>
    <row r="31" spans="1:6" s="5" customFormat="1" ht="12" customHeight="1" x14ac:dyDescent="0.2">
      <c r="A31" s="4" t="s">
        <v>86</v>
      </c>
      <c r="B31" s="34">
        <v>315000</v>
      </c>
      <c r="C31" s="34">
        <v>40459.5</v>
      </c>
      <c r="D31" s="34">
        <f t="shared" si="0"/>
        <v>355459.5</v>
      </c>
    </row>
    <row r="32" spans="1:6" s="5" customFormat="1" ht="12" customHeight="1" x14ac:dyDescent="0.2">
      <c r="A32" s="4" t="s">
        <v>99</v>
      </c>
      <c r="B32" s="34">
        <v>330000</v>
      </c>
      <c r="C32" s="34">
        <v>24786</v>
      </c>
      <c r="D32" s="34">
        <f t="shared" si="0"/>
        <v>354786</v>
      </c>
    </row>
    <row r="33" spans="1:4" s="5" customFormat="1" ht="12" customHeight="1" x14ac:dyDescent="0.2">
      <c r="A33" s="4" t="s">
        <v>138</v>
      </c>
      <c r="B33" s="34">
        <v>345000</v>
      </c>
      <c r="C33" s="34">
        <v>8383.5</v>
      </c>
      <c r="D33" s="34">
        <f t="shared" si="0"/>
        <v>353383.5</v>
      </c>
    </row>
    <row r="34" spans="1:4" x14ac:dyDescent="0.25">
      <c r="A34" s="6" t="s">
        <v>4</v>
      </c>
      <c r="B34" s="35">
        <f>SUM(B14:B33)</f>
        <v>4600000</v>
      </c>
      <c r="C34" s="35">
        <f t="shared" ref="C34" si="1">SUM(C14:C33)</f>
        <v>2495879.46</v>
      </c>
      <c r="D34" s="35">
        <f>SUM(D14:D33)</f>
        <v>7095879.46</v>
      </c>
    </row>
    <row r="35" spans="1:4" x14ac:dyDescent="0.25">
      <c r="A35" s="7"/>
      <c r="B35" s="36"/>
      <c r="C35" s="36"/>
      <c r="D35" s="36"/>
    </row>
    <row r="36" spans="1:4" x14ac:dyDescent="0.25">
      <c r="A36" s="7"/>
      <c r="B36" s="36"/>
      <c r="C36" s="36"/>
      <c r="D36" s="36"/>
    </row>
    <row r="37" spans="1:4" x14ac:dyDescent="0.25">
      <c r="A37" s="7"/>
      <c r="B37" s="36"/>
      <c r="C37" s="36"/>
      <c r="D37" s="36"/>
    </row>
    <row r="38" spans="1:4" x14ac:dyDescent="0.25">
      <c r="A38" s="7"/>
      <c r="B38" s="36"/>
      <c r="C38" s="36"/>
      <c r="D38" s="36"/>
    </row>
    <row r="39" spans="1:4" x14ac:dyDescent="0.25">
      <c r="A39" s="7"/>
      <c r="B39" s="36"/>
      <c r="C39" s="36"/>
      <c r="D39" s="36"/>
    </row>
    <row r="40" spans="1:4" x14ac:dyDescent="0.25">
      <c r="A40" s="7"/>
      <c r="B40" s="36"/>
      <c r="C40" s="36"/>
      <c r="D40" s="36"/>
    </row>
    <row r="41" spans="1:4" x14ac:dyDescent="0.25">
      <c r="A41" s="7"/>
      <c r="B41" s="36"/>
      <c r="C41" s="36"/>
      <c r="D41" s="36"/>
    </row>
    <row r="42" spans="1:4" x14ac:dyDescent="0.25">
      <c r="A42" s="7"/>
      <c r="B42" s="36"/>
      <c r="C42" s="36"/>
      <c r="D42" s="36"/>
    </row>
    <row r="43" spans="1:4" x14ac:dyDescent="0.25">
      <c r="B43" s="36"/>
      <c r="C43" s="36"/>
      <c r="D43" s="36"/>
    </row>
    <row r="44" spans="1:4" x14ac:dyDescent="0.25">
      <c r="B44" s="36"/>
      <c r="C44" s="36"/>
      <c r="D44" s="36"/>
    </row>
    <row r="45" spans="1:4" x14ac:dyDescent="0.25">
      <c r="B45" s="36"/>
      <c r="C45" s="36"/>
      <c r="D45" s="36"/>
    </row>
    <row r="46" spans="1:4" x14ac:dyDescent="0.25">
      <c r="B46" s="36"/>
      <c r="C46" s="36"/>
      <c r="D46" s="36"/>
    </row>
    <row r="47" spans="1:4" x14ac:dyDescent="0.25">
      <c r="B47" s="36"/>
      <c r="C47" s="36"/>
      <c r="D47" s="36"/>
    </row>
    <row r="48" spans="1:4" x14ac:dyDescent="0.25">
      <c r="B48" s="36"/>
      <c r="C48" s="36"/>
      <c r="D48" s="36"/>
    </row>
    <row r="49" spans="2:4" x14ac:dyDescent="0.25">
      <c r="B49" s="36"/>
      <c r="C49" s="36"/>
      <c r="D49" s="36"/>
    </row>
    <row r="50" spans="2:4" x14ac:dyDescent="0.25">
      <c r="B50" s="36"/>
      <c r="C50" s="36"/>
      <c r="D50" s="36"/>
    </row>
    <row r="51" spans="2:4" x14ac:dyDescent="0.25">
      <c r="B51" s="36"/>
      <c r="C51" s="36"/>
      <c r="D51" s="36"/>
    </row>
    <row r="52" spans="2:4" x14ac:dyDescent="0.25">
      <c r="B52" s="36"/>
      <c r="C52" s="36"/>
      <c r="D52" s="36"/>
    </row>
  </sheetData>
  <mergeCells count="8">
    <mergeCell ref="A9:D9"/>
    <mergeCell ref="A11:D11"/>
    <mergeCell ref="A1:D1"/>
    <mergeCell ref="A2:D2"/>
    <mergeCell ref="A3:D3"/>
    <mergeCell ref="A4:D4"/>
    <mergeCell ref="A5:D5"/>
    <mergeCell ref="A6:D8"/>
  </mergeCells>
  <pageMargins left="0.75" right="0.4" top="0.75" bottom="0.75" header="0.5" footer="0.5"/>
  <pageSetup scale="90" firstPageNumber="0"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P59"/>
  <sheetViews>
    <sheetView zoomScaleNormal="100" workbookViewId="0">
      <selection activeCell="F20" sqref="F20"/>
    </sheetView>
  </sheetViews>
  <sheetFormatPr defaultRowHeight="13.2" x14ac:dyDescent="0.25"/>
  <cols>
    <col min="1" max="1" width="10" style="1" customWidth="1"/>
    <col min="2" max="7" width="15" style="1" customWidth="1"/>
    <col min="8" max="8" width="15.109375" style="1" hidden="1" customWidth="1"/>
    <col min="9" max="9" width="14.5546875" style="1" bestFit="1" customWidth="1"/>
    <col min="10" max="10" width="12.6640625" style="1" customWidth="1"/>
    <col min="11" max="11" width="16.5546875" style="1" customWidth="1"/>
    <col min="12" max="12" width="7" style="1" bestFit="1" customWidth="1"/>
    <col min="13" max="13" width="14" style="1" bestFit="1" customWidth="1"/>
    <col min="14" max="14" width="16.5546875" style="1" customWidth="1"/>
    <col min="15" max="15" width="6" style="1" bestFit="1" customWidth="1"/>
    <col min="16" max="16" width="14" style="1" bestFit="1" customWidth="1"/>
    <col min="17" max="256" width="9.109375" style="1"/>
    <col min="257" max="257" width="9.5546875" style="1" customWidth="1"/>
    <col min="258" max="263" width="13.5546875" style="1" customWidth="1"/>
    <col min="264" max="264" width="9.109375" style="1"/>
    <col min="265" max="266" width="12.6640625" style="1" customWidth="1"/>
    <col min="267" max="512" width="9.109375" style="1"/>
    <col min="513" max="513" width="9.5546875" style="1" customWidth="1"/>
    <col min="514" max="519" width="13.5546875" style="1" customWidth="1"/>
    <col min="520" max="520" width="9.109375" style="1"/>
    <col min="521" max="522" width="12.6640625" style="1" customWidth="1"/>
    <col min="523" max="768" width="9.109375" style="1"/>
    <col min="769" max="769" width="9.5546875" style="1" customWidth="1"/>
    <col min="770" max="775" width="13.5546875" style="1" customWidth="1"/>
    <col min="776" max="776" width="9.109375" style="1"/>
    <col min="777" max="778" width="12.6640625" style="1" customWidth="1"/>
    <col min="779" max="1024" width="9.109375" style="1"/>
    <col min="1025" max="1025" width="9.5546875" style="1" customWidth="1"/>
    <col min="1026" max="1031" width="13.5546875" style="1" customWidth="1"/>
    <col min="1032" max="1032" width="9.109375" style="1"/>
    <col min="1033" max="1034" width="12.6640625" style="1" customWidth="1"/>
    <col min="1035" max="1280" width="9.109375" style="1"/>
    <col min="1281" max="1281" width="9.5546875" style="1" customWidth="1"/>
    <col min="1282" max="1287" width="13.5546875" style="1" customWidth="1"/>
    <col min="1288" max="1288" width="9.109375" style="1"/>
    <col min="1289" max="1290" width="12.6640625" style="1" customWidth="1"/>
    <col min="1291" max="1536" width="9.109375" style="1"/>
    <col min="1537" max="1537" width="9.5546875" style="1" customWidth="1"/>
    <col min="1538" max="1543" width="13.5546875" style="1" customWidth="1"/>
    <col min="1544" max="1544" width="9.109375" style="1"/>
    <col min="1545" max="1546" width="12.6640625" style="1" customWidth="1"/>
    <col min="1547" max="1792" width="9.109375" style="1"/>
    <col min="1793" max="1793" width="9.5546875" style="1" customWidth="1"/>
    <col min="1794" max="1799" width="13.5546875" style="1" customWidth="1"/>
    <col min="1800" max="1800" width="9.109375" style="1"/>
    <col min="1801" max="1802" width="12.6640625" style="1" customWidth="1"/>
    <col min="1803" max="2048" width="9.109375" style="1"/>
    <col min="2049" max="2049" width="9.5546875" style="1" customWidth="1"/>
    <col min="2050" max="2055" width="13.5546875" style="1" customWidth="1"/>
    <col min="2056" max="2056" width="9.109375" style="1"/>
    <col min="2057" max="2058" width="12.6640625" style="1" customWidth="1"/>
    <col min="2059" max="2304" width="9.109375" style="1"/>
    <col min="2305" max="2305" width="9.5546875" style="1" customWidth="1"/>
    <col min="2306" max="2311" width="13.5546875" style="1" customWidth="1"/>
    <col min="2312" max="2312" width="9.109375" style="1"/>
    <col min="2313" max="2314" width="12.6640625" style="1" customWidth="1"/>
    <col min="2315" max="2560" width="9.109375" style="1"/>
    <col min="2561" max="2561" width="9.5546875" style="1" customWidth="1"/>
    <col min="2562" max="2567" width="13.5546875" style="1" customWidth="1"/>
    <col min="2568" max="2568" width="9.109375" style="1"/>
    <col min="2569" max="2570" width="12.6640625" style="1" customWidth="1"/>
    <col min="2571" max="2816" width="9.109375" style="1"/>
    <col min="2817" max="2817" width="9.5546875" style="1" customWidth="1"/>
    <col min="2818" max="2823" width="13.5546875" style="1" customWidth="1"/>
    <col min="2824" max="2824" width="9.109375" style="1"/>
    <col min="2825" max="2826" width="12.6640625" style="1" customWidth="1"/>
    <col min="2827" max="3072" width="9.109375" style="1"/>
    <col min="3073" max="3073" width="9.5546875" style="1" customWidth="1"/>
    <col min="3074" max="3079" width="13.5546875" style="1" customWidth="1"/>
    <col min="3080" max="3080" width="9.109375" style="1"/>
    <col min="3081" max="3082" width="12.6640625" style="1" customWidth="1"/>
    <col min="3083" max="3328" width="9.109375" style="1"/>
    <col min="3329" max="3329" width="9.5546875" style="1" customWidth="1"/>
    <col min="3330" max="3335" width="13.5546875" style="1" customWidth="1"/>
    <col min="3336" max="3336" width="9.109375" style="1"/>
    <col min="3337" max="3338" width="12.6640625" style="1" customWidth="1"/>
    <col min="3339" max="3584" width="9.109375" style="1"/>
    <col min="3585" max="3585" width="9.5546875" style="1" customWidth="1"/>
    <col min="3586" max="3591" width="13.5546875" style="1" customWidth="1"/>
    <col min="3592" max="3592" width="9.109375" style="1"/>
    <col min="3593" max="3594" width="12.6640625" style="1" customWidth="1"/>
    <col min="3595" max="3840" width="9.109375" style="1"/>
    <col min="3841" max="3841" width="9.5546875" style="1" customWidth="1"/>
    <col min="3842" max="3847" width="13.5546875" style="1" customWidth="1"/>
    <col min="3848" max="3848" width="9.109375" style="1"/>
    <col min="3849" max="3850" width="12.6640625" style="1" customWidth="1"/>
    <col min="3851" max="4096" width="9.109375" style="1"/>
    <col min="4097" max="4097" width="9.5546875" style="1" customWidth="1"/>
    <col min="4098" max="4103" width="13.5546875" style="1" customWidth="1"/>
    <col min="4104" max="4104" width="9.109375" style="1"/>
    <col min="4105" max="4106" width="12.6640625" style="1" customWidth="1"/>
    <col min="4107" max="4352" width="9.109375" style="1"/>
    <col min="4353" max="4353" width="9.5546875" style="1" customWidth="1"/>
    <col min="4354" max="4359" width="13.5546875" style="1" customWidth="1"/>
    <col min="4360" max="4360" width="9.109375" style="1"/>
    <col min="4361" max="4362" width="12.6640625" style="1" customWidth="1"/>
    <col min="4363" max="4608" width="9.109375" style="1"/>
    <col min="4609" max="4609" width="9.5546875" style="1" customWidth="1"/>
    <col min="4610" max="4615" width="13.5546875" style="1" customWidth="1"/>
    <col min="4616" max="4616" width="9.109375" style="1"/>
    <col min="4617" max="4618" width="12.6640625" style="1" customWidth="1"/>
    <col min="4619" max="4864" width="9.109375" style="1"/>
    <col min="4865" max="4865" width="9.5546875" style="1" customWidth="1"/>
    <col min="4866" max="4871" width="13.5546875" style="1" customWidth="1"/>
    <col min="4872" max="4872" width="9.109375" style="1"/>
    <col min="4873" max="4874" width="12.6640625" style="1" customWidth="1"/>
    <col min="4875" max="5120" width="9.109375" style="1"/>
    <col min="5121" max="5121" width="9.5546875" style="1" customWidth="1"/>
    <col min="5122" max="5127" width="13.5546875" style="1" customWidth="1"/>
    <col min="5128" max="5128" width="9.109375" style="1"/>
    <col min="5129" max="5130" width="12.6640625" style="1" customWidth="1"/>
    <col min="5131" max="5376" width="9.109375" style="1"/>
    <col min="5377" max="5377" width="9.5546875" style="1" customWidth="1"/>
    <col min="5378" max="5383" width="13.5546875" style="1" customWidth="1"/>
    <col min="5384" max="5384" width="9.109375" style="1"/>
    <col min="5385" max="5386" width="12.6640625" style="1" customWidth="1"/>
    <col min="5387" max="5632" width="9.109375" style="1"/>
    <col min="5633" max="5633" width="9.5546875" style="1" customWidth="1"/>
    <col min="5634" max="5639" width="13.5546875" style="1" customWidth="1"/>
    <col min="5640" max="5640" width="9.109375" style="1"/>
    <col min="5641" max="5642" width="12.6640625" style="1" customWidth="1"/>
    <col min="5643" max="5888" width="9.109375" style="1"/>
    <col min="5889" max="5889" width="9.5546875" style="1" customWidth="1"/>
    <col min="5890" max="5895" width="13.5546875" style="1" customWidth="1"/>
    <col min="5896" max="5896" width="9.109375" style="1"/>
    <col min="5897" max="5898" width="12.6640625" style="1" customWidth="1"/>
    <col min="5899" max="6144" width="9.109375" style="1"/>
    <col min="6145" max="6145" width="9.5546875" style="1" customWidth="1"/>
    <col min="6146" max="6151" width="13.5546875" style="1" customWidth="1"/>
    <col min="6152" max="6152" width="9.109375" style="1"/>
    <col min="6153" max="6154" width="12.6640625" style="1" customWidth="1"/>
    <col min="6155" max="6400" width="9.109375" style="1"/>
    <col min="6401" max="6401" width="9.5546875" style="1" customWidth="1"/>
    <col min="6402" max="6407" width="13.5546875" style="1" customWidth="1"/>
    <col min="6408" max="6408" width="9.109375" style="1"/>
    <col min="6409" max="6410" width="12.6640625" style="1" customWidth="1"/>
    <col min="6411" max="6656" width="9.109375" style="1"/>
    <col min="6657" max="6657" width="9.5546875" style="1" customWidth="1"/>
    <col min="6658" max="6663" width="13.5546875" style="1" customWidth="1"/>
    <col min="6664" max="6664" width="9.109375" style="1"/>
    <col min="6665" max="6666" width="12.6640625" style="1" customWidth="1"/>
    <col min="6667" max="6912" width="9.109375" style="1"/>
    <col min="6913" max="6913" width="9.5546875" style="1" customWidth="1"/>
    <col min="6914" max="6919" width="13.5546875" style="1" customWidth="1"/>
    <col min="6920" max="6920" width="9.109375" style="1"/>
    <col min="6921" max="6922" width="12.6640625" style="1" customWidth="1"/>
    <col min="6923" max="7168" width="9.109375" style="1"/>
    <col min="7169" max="7169" width="9.5546875" style="1" customWidth="1"/>
    <col min="7170" max="7175" width="13.5546875" style="1" customWidth="1"/>
    <col min="7176" max="7176" width="9.109375" style="1"/>
    <col min="7177" max="7178" width="12.6640625" style="1" customWidth="1"/>
    <col min="7179" max="7424" width="9.109375" style="1"/>
    <col min="7425" max="7425" width="9.5546875" style="1" customWidth="1"/>
    <col min="7426" max="7431" width="13.5546875" style="1" customWidth="1"/>
    <col min="7432" max="7432" width="9.109375" style="1"/>
    <col min="7433" max="7434" width="12.6640625" style="1" customWidth="1"/>
    <col min="7435" max="7680" width="9.109375" style="1"/>
    <col min="7681" max="7681" width="9.5546875" style="1" customWidth="1"/>
    <col min="7682" max="7687" width="13.5546875" style="1" customWidth="1"/>
    <col min="7688" max="7688" width="9.109375" style="1"/>
    <col min="7689" max="7690" width="12.6640625" style="1" customWidth="1"/>
    <col min="7691" max="7936" width="9.109375" style="1"/>
    <col min="7937" max="7937" width="9.5546875" style="1" customWidth="1"/>
    <col min="7938" max="7943" width="13.5546875" style="1" customWidth="1"/>
    <col min="7944" max="7944" width="9.109375" style="1"/>
    <col min="7945" max="7946" width="12.6640625" style="1" customWidth="1"/>
    <col min="7947" max="8192" width="9.109375" style="1"/>
    <col min="8193" max="8193" width="9.5546875" style="1" customWidth="1"/>
    <col min="8194" max="8199" width="13.5546875" style="1" customWidth="1"/>
    <col min="8200" max="8200" width="9.109375" style="1"/>
    <col min="8201" max="8202" width="12.6640625" style="1" customWidth="1"/>
    <col min="8203" max="8448" width="9.109375" style="1"/>
    <col min="8449" max="8449" width="9.5546875" style="1" customWidth="1"/>
    <col min="8450" max="8455" width="13.5546875" style="1" customWidth="1"/>
    <col min="8456" max="8456" width="9.109375" style="1"/>
    <col min="8457" max="8458" width="12.6640625" style="1" customWidth="1"/>
    <col min="8459" max="8704" width="9.109375" style="1"/>
    <col min="8705" max="8705" width="9.5546875" style="1" customWidth="1"/>
    <col min="8706" max="8711" width="13.5546875" style="1" customWidth="1"/>
    <col min="8712" max="8712" width="9.109375" style="1"/>
    <col min="8713" max="8714" width="12.6640625" style="1" customWidth="1"/>
    <col min="8715" max="8960" width="9.109375" style="1"/>
    <col min="8961" max="8961" width="9.5546875" style="1" customWidth="1"/>
    <col min="8962" max="8967" width="13.5546875" style="1" customWidth="1"/>
    <col min="8968" max="8968" width="9.109375" style="1"/>
    <col min="8969" max="8970" width="12.6640625" style="1" customWidth="1"/>
    <col min="8971" max="9216" width="9.109375" style="1"/>
    <col min="9217" max="9217" width="9.5546875" style="1" customWidth="1"/>
    <col min="9218" max="9223" width="13.5546875" style="1" customWidth="1"/>
    <col min="9224" max="9224" width="9.109375" style="1"/>
    <col min="9225" max="9226" width="12.6640625" style="1" customWidth="1"/>
    <col min="9227" max="9472" width="9.109375" style="1"/>
    <col min="9473" max="9473" width="9.5546875" style="1" customWidth="1"/>
    <col min="9474" max="9479" width="13.5546875" style="1" customWidth="1"/>
    <col min="9480" max="9480" width="9.109375" style="1"/>
    <col min="9481" max="9482" width="12.6640625" style="1" customWidth="1"/>
    <col min="9483" max="9728" width="9.109375" style="1"/>
    <col min="9729" max="9729" width="9.5546875" style="1" customWidth="1"/>
    <col min="9730" max="9735" width="13.5546875" style="1" customWidth="1"/>
    <col min="9736" max="9736" width="9.109375" style="1"/>
    <col min="9737" max="9738" width="12.6640625" style="1" customWidth="1"/>
    <col min="9739" max="9984" width="9.109375" style="1"/>
    <col min="9985" max="9985" width="9.5546875" style="1" customWidth="1"/>
    <col min="9986" max="9991" width="13.5546875" style="1" customWidth="1"/>
    <col min="9992" max="9992" width="9.109375" style="1"/>
    <col min="9993" max="9994" width="12.6640625" style="1" customWidth="1"/>
    <col min="9995" max="10240" width="9.109375" style="1"/>
    <col min="10241" max="10241" width="9.5546875" style="1" customWidth="1"/>
    <col min="10242" max="10247" width="13.5546875" style="1" customWidth="1"/>
    <col min="10248" max="10248" width="9.109375" style="1"/>
    <col min="10249" max="10250" width="12.6640625" style="1" customWidth="1"/>
    <col min="10251" max="10496" width="9.109375" style="1"/>
    <col min="10497" max="10497" width="9.5546875" style="1" customWidth="1"/>
    <col min="10498" max="10503" width="13.5546875" style="1" customWidth="1"/>
    <col min="10504" max="10504" width="9.109375" style="1"/>
    <col min="10505" max="10506" width="12.6640625" style="1" customWidth="1"/>
    <col min="10507" max="10752" width="9.109375" style="1"/>
    <col min="10753" max="10753" width="9.5546875" style="1" customWidth="1"/>
    <col min="10754" max="10759" width="13.5546875" style="1" customWidth="1"/>
    <col min="10760" max="10760" width="9.109375" style="1"/>
    <col min="10761" max="10762" width="12.6640625" style="1" customWidth="1"/>
    <col min="10763" max="11008" width="9.109375" style="1"/>
    <col min="11009" max="11009" width="9.5546875" style="1" customWidth="1"/>
    <col min="11010" max="11015" width="13.5546875" style="1" customWidth="1"/>
    <col min="11016" max="11016" width="9.109375" style="1"/>
    <col min="11017" max="11018" width="12.6640625" style="1" customWidth="1"/>
    <col min="11019" max="11264" width="9.109375" style="1"/>
    <col min="11265" max="11265" width="9.5546875" style="1" customWidth="1"/>
    <col min="11266" max="11271" width="13.5546875" style="1" customWidth="1"/>
    <col min="11272" max="11272" width="9.109375" style="1"/>
    <col min="11273" max="11274" width="12.6640625" style="1" customWidth="1"/>
    <col min="11275" max="11520" width="9.109375" style="1"/>
    <col min="11521" max="11521" width="9.5546875" style="1" customWidth="1"/>
    <col min="11522" max="11527" width="13.5546875" style="1" customWidth="1"/>
    <col min="11528" max="11528" width="9.109375" style="1"/>
    <col min="11529" max="11530" width="12.6640625" style="1" customWidth="1"/>
    <col min="11531" max="11776" width="9.109375" style="1"/>
    <col min="11777" max="11777" width="9.5546875" style="1" customWidth="1"/>
    <col min="11778" max="11783" width="13.5546875" style="1" customWidth="1"/>
    <col min="11784" max="11784" width="9.109375" style="1"/>
    <col min="11785" max="11786" width="12.6640625" style="1" customWidth="1"/>
    <col min="11787" max="12032" width="9.109375" style="1"/>
    <col min="12033" max="12033" width="9.5546875" style="1" customWidth="1"/>
    <col min="12034" max="12039" width="13.5546875" style="1" customWidth="1"/>
    <col min="12040" max="12040" width="9.109375" style="1"/>
    <col min="12041" max="12042" width="12.6640625" style="1" customWidth="1"/>
    <col min="12043" max="12288" width="9.109375" style="1"/>
    <col min="12289" max="12289" width="9.5546875" style="1" customWidth="1"/>
    <col min="12290" max="12295" width="13.5546875" style="1" customWidth="1"/>
    <col min="12296" max="12296" width="9.109375" style="1"/>
    <col min="12297" max="12298" width="12.6640625" style="1" customWidth="1"/>
    <col min="12299" max="12544" width="9.109375" style="1"/>
    <col min="12545" max="12545" width="9.5546875" style="1" customWidth="1"/>
    <col min="12546" max="12551" width="13.5546875" style="1" customWidth="1"/>
    <col min="12552" max="12552" width="9.109375" style="1"/>
    <col min="12553" max="12554" width="12.6640625" style="1" customWidth="1"/>
    <col min="12555" max="12800" width="9.109375" style="1"/>
    <col min="12801" max="12801" width="9.5546875" style="1" customWidth="1"/>
    <col min="12802" max="12807" width="13.5546875" style="1" customWidth="1"/>
    <col min="12808" max="12808" width="9.109375" style="1"/>
    <col min="12809" max="12810" width="12.6640625" style="1" customWidth="1"/>
    <col min="12811" max="13056" width="9.109375" style="1"/>
    <col min="13057" max="13057" width="9.5546875" style="1" customWidth="1"/>
    <col min="13058" max="13063" width="13.5546875" style="1" customWidth="1"/>
    <col min="13064" max="13064" width="9.109375" style="1"/>
    <col min="13065" max="13066" width="12.6640625" style="1" customWidth="1"/>
    <col min="13067" max="13312" width="9.109375" style="1"/>
    <col min="13313" max="13313" width="9.5546875" style="1" customWidth="1"/>
    <col min="13314" max="13319" width="13.5546875" style="1" customWidth="1"/>
    <col min="13320" max="13320" width="9.109375" style="1"/>
    <col min="13321" max="13322" width="12.6640625" style="1" customWidth="1"/>
    <col min="13323" max="13568" width="9.109375" style="1"/>
    <col min="13569" max="13569" width="9.5546875" style="1" customWidth="1"/>
    <col min="13570" max="13575" width="13.5546875" style="1" customWidth="1"/>
    <col min="13576" max="13576" width="9.109375" style="1"/>
    <col min="13577" max="13578" width="12.6640625" style="1" customWidth="1"/>
    <col min="13579" max="13824" width="9.109375" style="1"/>
    <col min="13825" max="13825" width="9.5546875" style="1" customWidth="1"/>
    <col min="13826" max="13831" width="13.5546875" style="1" customWidth="1"/>
    <col min="13832" max="13832" width="9.109375" style="1"/>
    <col min="13833" max="13834" width="12.6640625" style="1" customWidth="1"/>
    <col min="13835" max="14080" width="9.109375" style="1"/>
    <col min="14081" max="14081" width="9.5546875" style="1" customWidth="1"/>
    <col min="14082" max="14087" width="13.5546875" style="1" customWidth="1"/>
    <col min="14088" max="14088" width="9.109375" style="1"/>
    <col min="14089" max="14090" width="12.6640625" style="1" customWidth="1"/>
    <col min="14091" max="14336" width="9.109375" style="1"/>
    <col min="14337" max="14337" width="9.5546875" style="1" customWidth="1"/>
    <col min="14338" max="14343" width="13.5546875" style="1" customWidth="1"/>
    <col min="14344" max="14344" width="9.109375" style="1"/>
    <col min="14345" max="14346" width="12.6640625" style="1" customWidth="1"/>
    <col min="14347" max="14592" width="9.109375" style="1"/>
    <col min="14593" max="14593" width="9.5546875" style="1" customWidth="1"/>
    <col min="14594" max="14599" width="13.5546875" style="1" customWidth="1"/>
    <col min="14600" max="14600" width="9.109375" style="1"/>
    <col min="14601" max="14602" width="12.6640625" style="1" customWidth="1"/>
    <col min="14603" max="14848" width="9.109375" style="1"/>
    <col min="14849" max="14849" width="9.5546875" style="1" customWidth="1"/>
    <col min="14850" max="14855" width="13.5546875" style="1" customWidth="1"/>
    <col min="14856" max="14856" width="9.109375" style="1"/>
    <col min="14857" max="14858" width="12.6640625" style="1" customWidth="1"/>
    <col min="14859" max="15104" width="9.109375" style="1"/>
    <col min="15105" max="15105" width="9.5546875" style="1" customWidth="1"/>
    <col min="15106" max="15111" width="13.5546875" style="1" customWidth="1"/>
    <col min="15112" max="15112" width="9.109375" style="1"/>
    <col min="15113" max="15114" width="12.6640625" style="1" customWidth="1"/>
    <col min="15115" max="15360" width="9.109375" style="1"/>
    <col min="15361" max="15361" width="9.5546875" style="1" customWidth="1"/>
    <col min="15362" max="15367" width="13.5546875" style="1" customWidth="1"/>
    <col min="15368" max="15368" width="9.109375" style="1"/>
    <col min="15369" max="15370" width="12.6640625" style="1" customWidth="1"/>
    <col min="15371" max="15616" width="9.109375" style="1"/>
    <col min="15617" max="15617" width="9.5546875" style="1" customWidth="1"/>
    <col min="15618" max="15623" width="13.5546875" style="1" customWidth="1"/>
    <col min="15624" max="15624" width="9.109375" style="1"/>
    <col min="15625" max="15626" width="12.6640625" style="1" customWidth="1"/>
    <col min="15627" max="15872" width="9.109375" style="1"/>
    <col min="15873" max="15873" width="9.5546875" style="1" customWidth="1"/>
    <col min="15874" max="15879" width="13.5546875" style="1" customWidth="1"/>
    <col min="15880" max="15880" width="9.109375" style="1"/>
    <col min="15881" max="15882" width="12.6640625" style="1" customWidth="1"/>
    <col min="15883" max="16128" width="9.109375" style="1"/>
    <col min="16129" max="16129" width="9.5546875" style="1" customWidth="1"/>
    <col min="16130" max="16135" width="13.5546875" style="1" customWidth="1"/>
    <col min="16136" max="16136" width="9.109375" style="1"/>
    <col min="16137" max="16138" width="12.6640625" style="1" customWidth="1"/>
    <col min="16139" max="16384" width="9.109375" style="1"/>
  </cols>
  <sheetData>
    <row r="1" spans="1:16" ht="17.399999999999999" x14ac:dyDescent="0.3">
      <c r="A1" s="69" t="s">
        <v>0</v>
      </c>
      <c r="B1" s="69"/>
      <c r="C1" s="69"/>
      <c r="D1" s="69"/>
      <c r="E1" s="69"/>
      <c r="F1" s="69"/>
      <c r="G1" s="69"/>
    </row>
    <row r="2" spans="1:16" ht="17.399999999999999" x14ac:dyDescent="0.3">
      <c r="A2" s="69" t="s">
        <v>141</v>
      </c>
      <c r="B2" s="69"/>
      <c r="C2" s="69"/>
      <c r="D2" s="69"/>
      <c r="E2" s="69"/>
      <c r="F2" s="69"/>
      <c r="G2" s="69"/>
    </row>
    <row r="3" spans="1:16" ht="15.6" x14ac:dyDescent="0.3">
      <c r="A3" s="70" t="s">
        <v>39</v>
      </c>
      <c r="B3" s="70"/>
      <c r="C3" s="70"/>
      <c r="D3" s="70"/>
      <c r="E3" s="70"/>
      <c r="F3" s="70"/>
      <c r="G3" s="70"/>
    </row>
    <row r="4" spans="1:16" ht="17.399999999999999" x14ac:dyDescent="0.3">
      <c r="A4" s="8"/>
      <c r="B4" s="8"/>
      <c r="C4" s="8"/>
      <c r="D4" s="8"/>
      <c r="E4" s="8"/>
      <c r="F4" s="8"/>
      <c r="G4" s="8"/>
    </row>
    <row r="5" spans="1:16" ht="15" customHeight="1" x14ac:dyDescent="0.3">
      <c r="A5" s="8"/>
      <c r="B5" s="8"/>
      <c r="C5" s="8"/>
      <c r="D5" s="8"/>
      <c r="E5" s="8"/>
      <c r="F5" s="8"/>
      <c r="G5" s="8"/>
    </row>
    <row r="6" spans="1:16" x14ac:dyDescent="0.25">
      <c r="A6" s="9"/>
      <c r="B6" s="75" t="s">
        <v>40</v>
      </c>
      <c r="C6" s="76"/>
      <c r="D6" s="77"/>
      <c r="E6" s="75" t="s">
        <v>41</v>
      </c>
      <c r="F6" s="78"/>
      <c r="G6" s="79"/>
      <c r="H6" s="10"/>
    </row>
    <row r="7" spans="1:16" x14ac:dyDescent="0.25">
      <c r="A7" s="11" t="s">
        <v>35</v>
      </c>
      <c r="B7" s="12" t="s">
        <v>2</v>
      </c>
      <c r="C7" s="10" t="s">
        <v>3</v>
      </c>
      <c r="D7" s="13" t="s">
        <v>36</v>
      </c>
      <c r="E7" s="12" t="s">
        <v>2</v>
      </c>
      <c r="F7" s="10" t="s">
        <v>3</v>
      </c>
      <c r="G7" s="13" t="s">
        <v>36</v>
      </c>
    </row>
    <row r="8" spans="1:16" ht="9.75" customHeight="1" x14ac:dyDescent="0.25">
      <c r="A8" s="14"/>
      <c r="B8" s="15"/>
      <c r="D8" s="16"/>
      <c r="E8" s="15"/>
      <c r="G8" s="16"/>
    </row>
    <row r="9" spans="1:16" x14ac:dyDescent="0.25">
      <c r="A9" s="17">
        <v>2023</v>
      </c>
      <c r="B9" s="18">
        <f>+(Bond13A!B14)+Bond13B!B14+Bond16B!B14+Bond17B!B14+Bond17A!B14+Bond18A!B14+Bond20A!B14+Bond20B!B14+(Bond21A!B14)+Bond22B!B14</f>
        <v>2358000</v>
      </c>
      <c r="C9" s="19">
        <f>+Bond13A!E14+Bond13B!C14+Bond16B!C14+Bond17B!C14+Bond17A!E14+Bond18A!C14+Bond20A!C14+(Bond20B!E14)+(Bond21A!E14)+Bond22B!C14</f>
        <v>1072414.21</v>
      </c>
      <c r="D9" s="20">
        <f t="shared" ref="D9:D24" si="0">+B9+C9</f>
        <v>3430414.21</v>
      </c>
      <c r="E9" s="18">
        <f>+(Bond13A!C14)+Bond12!B14+Bond15!B14+Bond16A!B14+'Bond10(gtua)'!B14+Bond17A!C14+Bond18!B14+Bond19!B14+Bond19ref!B14+Bond20ref!B14+(Bond20B!C14)+(Bond21A!C14)+Bond21B!B14+Bond22A!B14</f>
        <v>3605000</v>
      </c>
      <c r="F9" s="19">
        <f>+(Bond13A!F14)+Bond12!C14+Bond15!C14+Bond16A!C14+'Bond10(gtua)'!C14+Bond17A!F14+Bond18!C14+Bond19!C14+Bond19ref!C14+Bond20ref!C14+(Bond20B!F14)+(Bond21A!F14)+Bond21B!C14+Bond22A!C14</f>
        <v>2787383.31</v>
      </c>
      <c r="G9" s="20">
        <f t="shared" ref="G9:G25" si="1">+E9+F9</f>
        <v>6392383.3100000005</v>
      </c>
      <c r="H9" s="55" t="s">
        <v>146</v>
      </c>
      <c r="M9" s="21"/>
      <c r="N9" s="21"/>
      <c r="P9" s="21"/>
    </row>
    <row r="10" spans="1:16" x14ac:dyDescent="0.25">
      <c r="A10" s="17">
        <v>2024</v>
      </c>
      <c r="B10" s="18">
        <f>+(Bond13A!B15)+Bond13B!B15+Bond16B!B15+Bond17B!B15+Bond17A!B15+Bond18A!B15+Bond20A!B15+(Bond20B!B15)+(Bond21A!B15)+Bond22B!B15</f>
        <v>2510600</v>
      </c>
      <c r="C10" s="19">
        <f>+(Bond13A!E15)+Bond13B!C15+Bond16B!C15+Bond17B!C15+Bond17A!E15+Bond18A!C15+Bond20A!C15+(Bond20B!E15)+(Bond21A!E15)+Bond22B!C15</f>
        <v>960872.25</v>
      </c>
      <c r="D10" s="20">
        <f t="shared" si="0"/>
        <v>3471472.25</v>
      </c>
      <c r="E10" s="18">
        <f>+(Bond13A!C15)+Bond12!B15+Bond15!B15+Bond16A!B15+'Bond10(gtua)'!B15+Bond17A!C15+Bond18!B15+Bond19!B15+Bond19ref!B15+Bond20ref!B15+(Bond20B!C15)+(Bond21A!C15)+Bond21B!B15+Bond22A!B15</f>
        <v>4048880</v>
      </c>
      <c r="F10" s="19">
        <f>+(Bond13A!F15)+Bond12!C15+Bond15!C15+Bond16A!C15+'Bond10(gtua)'!C15+Bond17A!F15+Bond18!C15+Bond19!C15+Bond19ref!C15+Bond20ref!C15+(Bond20B!F15)+(Bond21A!F15)+Bond21B!C15+Bond22A!C15</f>
        <v>2351121.7599999998</v>
      </c>
      <c r="G10" s="20">
        <f t="shared" si="1"/>
        <v>6400001.7599999998</v>
      </c>
      <c r="H10" s="19"/>
      <c r="M10" s="21"/>
      <c r="N10" s="21"/>
      <c r="P10" s="21"/>
    </row>
    <row r="11" spans="1:16" x14ac:dyDescent="0.25">
      <c r="A11" s="17">
        <v>2025</v>
      </c>
      <c r="B11" s="18">
        <f>+(Bond13A!B16)+Bond13B!B16+Bond16B!B16+Bond17B!B16+Bond17A!B16+Bond18A!B16+Bond20A!B16+Bond20B!B16+(Bond21A!B16)+Bond22B!B16</f>
        <v>2912000</v>
      </c>
      <c r="C11" s="19">
        <f>+(Bond13A!E16)+Bond13B!C16+Bond16B!C16+Bond17B!C16+Bond17A!E16+Bond18A!C16+Bond20A!C16+(Bond20B!E16)+(Bond21A!E16)+Bond22B!C16</f>
        <v>888408.5</v>
      </c>
      <c r="D11" s="20">
        <f t="shared" si="0"/>
        <v>3800408.5</v>
      </c>
      <c r="E11" s="18">
        <f>+(Bond13A!C16)+Bond12!B16+Bond15!B16+Bond16A!B16+'Bond10(gtua)'!B16+Bond17A!C16+Bond18!B16+Bond19!B16+Bond19ref!B16+Bond20ref!B16+(Bond20B!C16)+(Bond21A!C16)+Bond21B!B16+Bond22A!B16</f>
        <v>4178960</v>
      </c>
      <c r="F11" s="19">
        <f>+(Bond13A!F16)+Bond12!C16+Bond15!C16+Bond16A!C16+'Bond10(gtua)'!C16+Bond17A!F16+Bond18!C16+Bond19!C16+Bond19ref!C16+Bond20ref!C16+(Bond20B!F16)+(Bond21A!F16)+Bond21B!C16+Bond22A!C16</f>
        <v>2210063.64</v>
      </c>
      <c r="G11" s="20">
        <f t="shared" si="1"/>
        <v>6389023.6400000006</v>
      </c>
      <c r="H11" s="19"/>
      <c r="M11" s="21"/>
      <c r="N11" s="21"/>
      <c r="P11" s="21"/>
    </row>
    <row r="12" spans="1:16" x14ac:dyDescent="0.25">
      <c r="A12" s="17">
        <v>2026</v>
      </c>
      <c r="B12" s="18">
        <f>+Bond13B!B17+Bond16B!B17+Bond17B!B17+Bond17A!B17+Bond18A!B17+Bond20A!B17+(Bond20B!B17)+(Bond21A!B17)+Bond22B!B17</f>
        <v>2640000</v>
      </c>
      <c r="C12" s="19">
        <f>+Bond13B!C17+Bond16B!C17+Bond17B!C17+(Bond17A!E17)+Bond18A!C17+Bond20A!C17+(Bond20B!E17)+(Bond21A!E17)+Bond22B!C17</f>
        <v>810475.75</v>
      </c>
      <c r="D12" s="20">
        <f t="shared" si="0"/>
        <v>3450475.75</v>
      </c>
      <c r="E12" s="18">
        <f>+Bond12!B17+Bond15!B17+Bond16A!B17+'Bond10(gtua)'!B17+Bond17A!C17+Bond18!B17+Bond19!B17+Bond19ref!B17+Bond20ref!B17+(Bond20B!C17)+(Bond21A!C17)+Bond21B!B17+Bond22A!B17</f>
        <v>4207440</v>
      </c>
      <c r="F12" s="19">
        <f>+Bond12!C17+Bond15!C17+Bond16A!C17+'Bond10(gtua)'!C17+Bond17A!F17+Bond18!C17+Bond19!C17+Bond19ref!C17+Bond20ref!C17+(Bond20B!F17)+(Bond21A!F17)+Bond21B!C17+Bond22A!C17</f>
        <v>2071910.5</v>
      </c>
      <c r="G12" s="20">
        <f t="shared" si="1"/>
        <v>6279350.5</v>
      </c>
      <c r="H12" s="19"/>
      <c r="M12" s="21"/>
      <c r="N12" s="21"/>
      <c r="P12" s="21"/>
    </row>
    <row r="13" spans="1:16" x14ac:dyDescent="0.25">
      <c r="A13" s="17">
        <v>2027</v>
      </c>
      <c r="B13" s="18">
        <f>+Bond13B!B18+Bond17B!B18+Bond17A!B18+Bond18A!B18+Bond20A!B18+(Bond20B!B18)+(Bond21A!B18)+Bond22B!B18</f>
        <v>1875000</v>
      </c>
      <c r="C13" s="19">
        <f>+Bond13B!C18+Bond17B!C18+Bond17A!E18+Bond18A!C18+Bond20A!C18+(Bond20B!E18)+(Bond21A!E18)+Bond22B!C18</f>
        <v>746235</v>
      </c>
      <c r="D13" s="20">
        <f t="shared" si="0"/>
        <v>2621235</v>
      </c>
      <c r="E13" s="18">
        <f>++Bond12!B18+Bond15!B18+Bond16A!B18+'Bond10(gtua)'!B18+Bond17A!C18+Bond18!B18+Bond19!B18+Bond19ref!B18+Bond20ref!B18+(Bond20B!C18)+(Bond21A!C18)+Bond21B!B18+Bond22A!B18</f>
        <v>4358920</v>
      </c>
      <c r="F13" s="19">
        <f>+Bond12!C18+Bond15!C18+Bond16A!C18+'Bond10(gtua)'!C18+Bond17A!F18+Bond18!C18+Bond19!C18+Bond19ref!C18+Bond20ref!C18+(Bond20B!F18)+(Bond21A!F18)+Bond21B!C18+Bond22A!C18</f>
        <v>1923326.74</v>
      </c>
      <c r="G13" s="20">
        <f t="shared" si="1"/>
        <v>6282246.7400000002</v>
      </c>
      <c r="H13" s="19"/>
      <c r="M13" s="21"/>
      <c r="N13" s="21"/>
      <c r="P13" s="21"/>
    </row>
    <row r="14" spans="1:16" x14ac:dyDescent="0.25">
      <c r="A14" s="17">
        <v>2028</v>
      </c>
      <c r="B14" s="18">
        <f>+Bond13B!B19+Bond17A!B19+Bond18A!B19+Bond20A!B19+(Bond20B!B19)+(Bond21A!B19)+Bond22B!B19</f>
        <v>1615000</v>
      </c>
      <c r="C14" s="19">
        <f>+Bond13B!C19+Bond17A!E19+Bond18A!C19+Bond20A!C19+(Bond20B!E19)+(Bond21A!E19)+Bond22B!C19</f>
        <v>687092.75</v>
      </c>
      <c r="D14" s="20">
        <f t="shared" si="0"/>
        <v>2302092.75</v>
      </c>
      <c r="E14" s="18">
        <f>++Bond12!B19+Bond15!B19+Bond16A!B19+'Bond10(gtua)'!B19+Bond17A!C19+Bond18!B19+Bond19!B19+Bond19ref!B19+Bond20ref!B19+(Bond20B!C19)+(Bond21A!C19)+Bond21B!B19+Bond22A!B19</f>
        <v>4535400</v>
      </c>
      <c r="F14" s="19">
        <f>+Bond12!C19+Bond15!C19+Bond16A!C19+'Bond10(gtua)'!C19+Bond17A!F19+Bond18!C19+Bond19!C19+Bond19ref!C19+Bond20ref!C19+(Bond20B!F19)+(Bond21A!F19)+Bond21B!C19+Bond22A!C19</f>
        <v>1759264.6600000001</v>
      </c>
      <c r="G14" s="20">
        <f t="shared" si="1"/>
        <v>6294664.6600000001</v>
      </c>
      <c r="H14" s="19"/>
      <c r="I14" s="21"/>
      <c r="J14" s="21"/>
      <c r="K14" s="21"/>
      <c r="M14" s="21"/>
      <c r="N14" s="21"/>
      <c r="P14" s="21"/>
    </row>
    <row r="15" spans="1:16" x14ac:dyDescent="0.25">
      <c r="A15" s="17">
        <v>2029</v>
      </c>
      <c r="B15" s="18">
        <f>+Bond13B!B20+Bond17A!B20+Bond20A!B20+(Bond20B!B20)+(Bond21A!B20)+Bond22B!B20</f>
        <v>1680000</v>
      </c>
      <c r="C15" s="19">
        <f>+Bond13B!C20+Bond17A!E20+Bond20A!C20+(Bond20B!E20)+(Bond21A!E20)+Bond22B!C20</f>
        <v>628147.5</v>
      </c>
      <c r="D15" s="20">
        <f t="shared" si="0"/>
        <v>2308147.5</v>
      </c>
      <c r="E15" s="18">
        <f>+Bond15!B20+Bond16A!B20+'Bond10(gtua)'!B20+Bond17A!C20+Bond18!B20+Bond19!B20+Bond20ref!B20+(Bond20B!C20)+(Bond21A!C20)+Bond21B!B20+Bond22A!B20</f>
        <v>3796880</v>
      </c>
      <c r="F15" s="19">
        <f>+Bond15!C20+Bond16A!C20+'Bond10(gtua)'!C20+Bond17A!F20+Bond18!C20+Bond19!C20+Bond20ref!C20+(Bond20B!F20)+(Bond21A!F20)+Bond21B!C20+Bond22A!C20</f>
        <v>1581773.1600000001</v>
      </c>
      <c r="G15" s="20">
        <f t="shared" si="1"/>
        <v>5378653.1600000001</v>
      </c>
      <c r="H15" s="19"/>
      <c r="I15" s="21"/>
      <c r="J15" s="21"/>
      <c r="K15" s="21"/>
      <c r="M15" s="21"/>
      <c r="N15" s="21"/>
      <c r="P15" s="21"/>
    </row>
    <row r="16" spans="1:16" x14ac:dyDescent="0.25">
      <c r="A16" s="17">
        <v>2030</v>
      </c>
      <c r="B16" s="18">
        <f>+Bond13B!B21+Bond17A!B21+Bond20A!B21+(Bond20B!B21)+(Bond21A!B21)+Bond22B!B21</f>
        <v>1735000</v>
      </c>
      <c r="C16" s="19">
        <f>+Bond13B!C21+Bond17A!E21+(Bond20B!E21)+Bond20A!C21+(Bond21A!E21)+Bond22B!C21</f>
        <v>567674</v>
      </c>
      <c r="D16" s="20">
        <f t="shared" si="0"/>
        <v>2302674</v>
      </c>
      <c r="E16" s="18">
        <f>+Bond15!B21+Bond16A!B21+'Bond10(gtua)'!B21+Bond17A!C21+Bond18!B21+Bond19!B21+(Bond20B!C21)+(Bond21A!C21)+Bond21B!B21+Bond22A!B21</f>
        <v>3420960</v>
      </c>
      <c r="F16" s="19">
        <f>+Bond15!C21+Bond16A!C21+'Bond10(gtua)'!C21+Bond17A!F21+Bond18!C21+Bond19!C21+(Bond20B!F21)+(Bond21A!F21)+Bond21B!C21+Bond22A!C21</f>
        <v>1441300.3</v>
      </c>
      <c r="G16" s="20">
        <f t="shared" si="1"/>
        <v>4862260.3</v>
      </c>
      <c r="H16" s="19"/>
      <c r="I16" s="21"/>
      <c r="J16" s="21"/>
      <c r="K16" s="21"/>
      <c r="M16" s="21"/>
      <c r="N16" s="21"/>
      <c r="P16" s="21"/>
    </row>
    <row r="17" spans="1:16" x14ac:dyDescent="0.25">
      <c r="A17" s="17">
        <v>2031</v>
      </c>
      <c r="B17" s="18">
        <f>+Bond13B!B22+Bond17A!B22+(Bond20B!B22)+(Bond21A!B22)+Bond22B!B22</f>
        <v>1535000</v>
      </c>
      <c r="C17" s="19">
        <f>+Bond13B!C22+Bond17A!E22+(Bond20B!E22)+(Bond21A!E22)+Bond22B!C22</f>
        <v>508380</v>
      </c>
      <c r="D17" s="20">
        <f t="shared" si="0"/>
        <v>2043380</v>
      </c>
      <c r="E17" s="18">
        <f>+Bond15!B22+Bond16A!B22+(Bond17A!C22)+Bond18!B22+Bond19!B22+(Bond20B!C22)+(Bond21A!C22)+Bond21B!B22+Bond22A!B22</f>
        <v>3295000</v>
      </c>
      <c r="F17" s="19">
        <f>+Bond15!C22+Bond16A!C22+Bond17A!F22+Bond18!C22+Bond19!C22+(Bond20B!F22)+(Bond21A!F22)+Bond21B!C22+Bond22A!C22</f>
        <v>1301377.5</v>
      </c>
      <c r="G17" s="20">
        <f t="shared" si="1"/>
        <v>4596377.5</v>
      </c>
      <c r="H17" s="19"/>
      <c r="I17" s="21"/>
      <c r="J17" s="21"/>
      <c r="K17" s="21"/>
      <c r="M17" s="21"/>
      <c r="N17" s="21"/>
      <c r="P17" s="21"/>
    </row>
    <row r="18" spans="1:16" x14ac:dyDescent="0.25">
      <c r="A18" s="17">
        <v>2032</v>
      </c>
      <c r="B18" s="18">
        <f>+Bond13B!B23+Bond17A!B23+(Bond20B!B23)+(Bond21A!B23)+Bond22B!B23</f>
        <v>1590000</v>
      </c>
      <c r="C18" s="19">
        <f>+Bond13B!C23+Bond17A!E23+(Bond20B!E23)+(Bond21A!E23)+Bond22B!C23</f>
        <v>448567.5</v>
      </c>
      <c r="D18" s="20">
        <f t="shared" si="0"/>
        <v>2038567.5</v>
      </c>
      <c r="E18" s="18">
        <f>+Bond15!B23+Bond16A!B23+Bond17A!C23+Bond18!B23+Bond19!B23+(Bond20B!C23)+(Bond21A!C23)+Bond21B!B23+Bond22A!B23</f>
        <v>3440000</v>
      </c>
      <c r="F18" s="19">
        <f>+Bond15!C23+Bond16A!C23+Bond17A!F23+Bond18!C23+Bond19!C23+(Bond20B!F23)+(Bond21A!F23)+Bond21B!C23+Bond22A!C23</f>
        <v>1164997.5</v>
      </c>
      <c r="G18" s="20">
        <f t="shared" si="1"/>
        <v>4604997.5</v>
      </c>
      <c r="H18" s="19"/>
      <c r="I18" s="21"/>
      <c r="J18" s="21"/>
      <c r="K18" s="21"/>
      <c r="M18" s="21"/>
      <c r="N18" s="21"/>
      <c r="P18" s="21"/>
    </row>
    <row r="19" spans="1:16" x14ac:dyDescent="0.25">
      <c r="A19" s="17">
        <v>2033</v>
      </c>
      <c r="B19" s="18">
        <f>+Bond13B!B24+Bond17A!B24+(Bond20B!B24)+(Bond21A!B24)+Bond22B!B24</f>
        <v>1645000</v>
      </c>
      <c r="C19" s="19">
        <f>+Bond13B!C24+Bond17A!E24+(Bond20B!E24)+(Bond21A!E24)+Bond22B!C24</f>
        <v>393661</v>
      </c>
      <c r="D19" s="20">
        <f t="shared" si="0"/>
        <v>2038661</v>
      </c>
      <c r="E19" s="18">
        <f>+Bond15!B24+Bond16A!B24+Bond17A!C24+Bond18!B24+Bond19!B24+(Bond20B!C24)+(Bond21A!C24)+Bond21B!B24+Bond22A!B24</f>
        <v>3575000</v>
      </c>
      <c r="F19" s="19">
        <f>+Bond15!C24+Bond16A!C24+Bond17A!F24+Bond18!C24+Bond19!C24+(Bond20B!F24)+(Bond21A!F24)+Bond21B!C24+Bond22A!C24</f>
        <v>1032077.5</v>
      </c>
      <c r="G19" s="20">
        <f t="shared" si="1"/>
        <v>4607077.5</v>
      </c>
      <c r="H19" s="19"/>
      <c r="I19" s="21"/>
      <c r="J19" s="21"/>
      <c r="K19" s="21"/>
      <c r="M19" s="21"/>
      <c r="N19" s="21"/>
      <c r="P19" s="21"/>
    </row>
    <row r="20" spans="1:16" x14ac:dyDescent="0.25">
      <c r="A20" s="17">
        <v>2034</v>
      </c>
      <c r="B20" s="18">
        <f>+Bond17A!B25+(Bond20B!B25)+(Bond21A!B25)+Bond22B!B25</f>
        <v>1540000</v>
      </c>
      <c r="C20" s="19">
        <f>+Bond17A!E25+(Bond20B!E25)+(Bond21A!E25)+Bond22B!C25</f>
        <v>346314</v>
      </c>
      <c r="D20" s="20">
        <f t="shared" si="0"/>
        <v>1886314</v>
      </c>
      <c r="E20" s="18">
        <f>+Bond15!B25+Bond16A!B25+Bond17A!C25+Bond18!B25+Bond19!B25+(Bond20B!C25)+(Bond21A!C25)+Bond21B!B25+Bond22A!B25</f>
        <v>3695000</v>
      </c>
      <c r="F20" s="19">
        <f>+Bond15!C25+Bond16A!C25+Bond17A!F25+Bond18!C25+Bond19!C25+(Bond20B!F25)+(Bond21A!F25)+Bond21B!C25+Bond22A!C25</f>
        <v>902813.75</v>
      </c>
      <c r="G20" s="20">
        <f t="shared" si="1"/>
        <v>4597813.75</v>
      </c>
      <c r="H20" s="19"/>
      <c r="I20" s="21"/>
      <c r="J20" s="21"/>
      <c r="K20" s="21"/>
      <c r="M20" s="21"/>
      <c r="N20" s="21"/>
      <c r="P20" s="21"/>
    </row>
    <row r="21" spans="1:16" x14ac:dyDescent="0.25">
      <c r="A21" s="17">
        <v>2035</v>
      </c>
      <c r="B21" s="18">
        <f>+Bond17A!B26+(Bond20B!B26)+(Bond21A!B26)+Bond22B!B26</f>
        <v>1595000</v>
      </c>
      <c r="C21" s="19">
        <f>+Bond17A!E26+(Bond20B!E26)+(Bond21A!E26)+Bond22B!C26</f>
        <v>299512</v>
      </c>
      <c r="D21" s="20">
        <f t="shared" si="0"/>
        <v>1894512</v>
      </c>
      <c r="E21" s="18">
        <f>+Bond15!B26+Bond16A!B26+'Bond10(gtua)'!B25+Bond17A!C26+Bond18!B26+Bond19!B26+(Bond20B!C26)+(Bond21A!C26)+Bond21B!B26+Bond22A!B26</f>
        <v>3830000</v>
      </c>
      <c r="F21" s="19">
        <f>+Bond15!C26+Bond16A!C26+Bond17A!F26+Bond18!C26+Bond19!C26+(Bond20B!F26)+(Bond21A!F26)+Bond21B!C26+Bond22A!C26</f>
        <v>769676.25</v>
      </c>
      <c r="G21" s="20">
        <f t="shared" si="1"/>
        <v>4599676.25</v>
      </c>
      <c r="H21" s="19"/>
      <c r="I21" s="21"/>
      <c r="J21" s="21"/>
      <c r="K21" s="21"/>
      <c r="M21" s="21"/>
      <c r="N21" s="21"/>
      <c r="P21" s="21"/>
    </row>
    <row r="22" spans="1:16" x14ac:dyDescent="0.25">
      <c r="A22" s="17">
        <v>2036</v>
      </c>
      <c r="B22" s="18">
        <f>+Bond17A!B27+(Bond20B!B27)+(Bond21A!B27)+Bond22B!B27</f>
        <v>1640000</v>
      </c>
      <c r="C22" s="19">
        <f>+Bond17A!E27+(Bond20B!E27)+(Bond21A!E27)+Bond22B!C27</f>
        <v>252930</v>
      </c>
      <c r="D22" s="20">
        <f t="shared" si="0"/>
        <v>1892930</v>
      </c>
      <c r="E22" s="18">
        <f>+Bond16A!B27+'Bond10(gtua)'!B26+Bond17A!C27+Bond18!B27+Bond19!B27+(Bond20B!C27)+(Bond21A!C27)+Bond21B!B27+Bond22A!B27</f>
        <v>3510000</v>
      </c>
      <c r="F22" s="19">
        <f>+Bond16A!C27+Bond17A!F27+Bond18!C27+Bond19!C27+(Bond20B!F27)+(Bond21A!F27)+Bond21B!C27+Bond22A!C27</f>
        <v>640252.5</v>
      </c>
      <c r="G22" s="20">
        <f t="shared" si="1"/>
        <v>4150252.5</v>
      </c>
      <c r="H22" s="19"/>
      <c r="I22" s="21"/>
      <c r="J22" s="21"/>
      <c r="K22" s="21"/>
      <c r="M22" s="21"/>
      <c r="N22" s="21"/>
      <c r="O22" s="42"/>
      <c r="P22" s="21"/>
    </row>
    <row r="23" spans="1:16" x14ac:dyDescent="0.25">
      <c r="A23" s="17">
        <v>2037</v>
      </c>
      <c r="B23" s="18">
        <f>+Bond17A!B28+(Bond20B!B28)+(Bond21A!B28)+Bond22B!B28</f>
        <v>1680000</v>
      </c>
      <c r="C23" s="19">
        <f>+Bond17A!E28+(Bond20B!E28)+(Bond21A!E28)+Bond22B!C28</f>
        <v>206909</v>
      </c>
      <c r="D23" s="20">
        <f t="shared" si="0"/>
        <v>1886909</v>
      </c>
      <c r="E23" s="18">
        <f>+Bond17A!C28+Bond18!B28+Bond19!B28+(Bond20B!C28)+(Bond21A!C28)+Bond21B!B28+Bond22A!B28</f>
        <v>3505000</v>
      </c>
      <c r="F23" s="19">
        <f>+Bond17A!F28+Bond18!C28+Bond19!C28+(Bond20B!F28)+(Bond21A!F28)+Bond21B!C28+Bond22A!C28</f>
        <v>520142.5</v>
      </c>
      <c r="G23" s="20">
        <f t="shared" si="1"/>
        <v>4025142.5</v>
      </c>
      <c r="H23" s="19"/>
      <c r="I23" s="21"/>
      <c r="J23" s="21"/>
      <c r="K23" s="21"/>
      <c r="M23" s="21"/>
      <c r="N23" s="21"/>
      <c r="P23" s="21"/>
    </row>
    <row r="24" spans="1:16" x14ac:dyDescent="0.25">
      <c r="A24" s="17">
        <v>2038</v>
      </c>
      <c r="B24" s="18">
        <f>+(Bond20B!B29)+(Bond21A!B29)+Bond22B!B29</f>
        <v>1535000</v>
      </c>
      <c r="C24" s="19">
        <f>+(Bond20B!E29)+(Bond21A!E29)+Bond22B!C29</f>
        <v>162119.5</v>
      </c>
      <c r="D24" s="20">
        <f t="shared" si="0"/>
        <v>1697119.5</v>
      </c>
      <c r="E24" s="18">
        <f>+Bond18!B29+Bond19!B29+(Bond20B!C29)+(Bond21A!C29)+Bond21B!B29+Bond22A!B29</f>
        <v>3360000</v>
      </c>
      <c r="F24" s="19">
        <f>+Bond18!C29+Bond19!C29+(Bond20B!F29)+(Bond21A!F29)+Bond21B!C29+Bond22A!C29</f>
        <v>404852.5</v>
      </c>
      <c r="G24" s="20">
        <f t="shared" si="1"/>
        <v>3764852.5</v>
      </c>
      <c r="H24" s="19"/>
      <c r="I24" s="21"/>
      <c r="J24" s="21"/>
      <c r="K24" s="21"/>
      <c r="M24" s="21"/>
      <c r="N24" s="21"/>
      <c r="P24" s="21"/>
    </row>
    <row r="25" spans="1:16" x14ac:dyDescent="0.25">
      <c r="A25" s="17">
        <v>2039</v>
      </c>
      <c r="B25" s="18">
        <f>+(Bond20B!B30)+(Bond21A!B30)+Bond22B!B30</f>
        <v>1575000</v>
      </c>
      <c r="C25" s="19">
        <f>+(Bond20B!E30)+(Bond21A!E30)+Bond22B!C30</f>
        <v>118504</v>
      </c>
      <c r="D25" s="20">
        <f>+B25+C25</f>
        <v>1693504</v>
      </c>
      <c r="E25" s="18">
        <f>+Bond19!B30+(Bond20B!C30)+(Bond21A!C30)+Bond21B!B30+Bond22A!B30</f>
        <v>2970000</v>
      </c>
      <c r="F25" s="19">
        <f>+Bond19!C30+(Bond20B!F30)+(Bond21A!F30)+Bond21B!C30+Bond22A!C30</f>
        <v>297331.25</v>
      </c>
      <c r="G25" s="20">
        <f t="shared" si="1"/>
        <v>3267331.25</v>
      </c>
      <c r="H25" s="19"/>
      <c r="I25" s="21"/>
      <c r="J25" s="21"/>
      <c r="K25" s="21"/>
      <c r="M25" s="21"/>
      <c r="N25" s="21"/>
      <c r="P25" s="21"/>
    </row>
    <row r="26" spans="1:16" x14ac:dyDescent="0.25">
      <c r="A26" s="17">
        <v>2040</v>
      </c>
      <c r="B26" s="18">
        <f>+(Bond20B!B31)+(Bond21A!B31)+Bond22B!B31</f>
        <v>1625000</v>
      </c>
      <c r="C26" s="19">
        <f>+(Bond20B!E31)+(Bond21A!E31)+Bond22B!C31</f>
        <v>73434.5</v>
      </c>
      <c r="D26" s="20">
        <f>+B26+C26</f>
        <v>1698434.5</v>
      </c>
      <c r="E26" s="18">
        <f>+(Bond20B!C31)+(Bond21A!C31)+Bond21B!B31+Bond22A!B31</f>
        <v>2690000</v>
      </c>
      <c r="F26" s="19">
        <f>+(Bond20B!F31)+(Bond21A!F31)+Bond21B!C31+Bond22A!C31</f>
        <v>199825</v>
      </c>
      <c r="G26" s="20">
        <f>+E26+F26</f>
        <v>2889825</v>
      </c>
      <c r="H26" s="19"/>
      <c r="I26" s="21"/>
      <c r="J26" s="21"/>
      <c r="K26" s="21"/>
      <c r="M26" s="21"/>
      <c r="N26" s="21"/>
      <c r="P26" s="21"/>
    </row>
    <row r="27" spans="1:16" x14ac:dyDescent="0.25">
      <c r="A27" s="17">
        <v>2041</v>
      </c>
      <c r="B27" s="18">
        <f>+(Bond21A!B32)+Bond22B!B32</f>
        <v>1215000</v>
      </c>
      <c r="C27" s="19">
        <f>+(Bond21A!E32)+Bond22B!C32</f>
        <v>33636</v>
      </c>
      <c r="D27" s="20">
        <f>+B27+C27</f>
        <v>1248636</v>
      </c>
      <c r="E27" s="18">
        <f>+(Bond21A!C32)+Bond21B!B32+Bond22A!B32</f>
        <v>2505000</v>
      </c>
      <c r="F27" s="19">
        <f>+(Bond21A!F32)+Bond21B!C32+Bond22A!C32</f>
        <v>108975</v>
      </c>
      <c r="G27" s="20">
        <f>+E27+F27</f>
        <v>2613975</v>
      </c>
      <c r="H27" s="19"/>
      <c r="I27" s="21"/>
      <c r="J27" s="21"/>
      <c r="K27" s="21"/>
      <c r="M27" s="21"/>
      <c r="N27" s="21"/>
      <c r="P27" s="21"/>
    </row>
    <row r="28" spans="1:16" x14ac:dyDescent="0.25">
      <c r="A28" s="17">
        <v>2042</v>
      </c>
      <c r="B28" s="18">
        <f>+Bond22B!B33</f>
        <v>345000</v>
      </c>
      <c r="C28" s="19">
        <f>+Bond22B!C33</f>
        <v>8383.5</v>
      </c>
      <c r="D28" s="20">
        <f>+B28+C28</f>
        <v>353383.5</v>
      </c>
      <c r="E28" s="18">
        <f>+Bond22A!B33</f>
        <v>1620000</v>
      </c>
      <c r="F28" s="19">
        <f>+Bond22A!C33</f>
        <v>32400</v>
      </c>
      <c r="G28" s="20">
        <f>+E28+F28</f>
        <v>1652400</v>
      </c>
      <c r="H28" s="19"/>
      <c r="I28" s="21"/>
      <c r="J28" s="21"/>
      <c r="K28" s="21"/>
      <c r="M28" s="21"/>
      <c r="N28" s="21"/>
      <c r="P28" s="21"/>
    </row>
    <row r="29" spans="1:16" x14ac:dyDescent="0.25">
      <c r="A29" s="22" t="s">
        <v>4</v>
      </c>
      <c r="B29" s="23">
        <f t="shared" ref="B29:G29" si="2">SUM(B9:B28)</f>
        <v>34845600</v>
      </c>
      <c r="C29" s="24">
        <f t="shared" si="2"/>
        <v>9213670.9600000009</v>
      </c>
      <c r="D29" s="25">
        <f t="shared" si="2"/>
        <v>44059270.960000001</v>
      </c>
      <c r="E29" s="23">
        <f t="shared" si="2"/>
        <v>70147440</v>
      </c>
      <c r="F29" s="24">
        <f t="shared" si="2"/>
        <v>23500865.32</v>
      </c>
      <c r="G29" s="25">
        <f t="shared" si="2"/>
        <v>93648305.319999993</v>
      </c>
      <c r="I29" s="21"/>
      <c r="J29" s="21"/>
      <c r="K29" s="21"/>
      <c r="L29" s="21"/>
      <c r="M29" s="21"/>
      <c r="N29" s="21"/>
      <c r="O29" s="21"/>
      <c r="P29" s="21"/>
    </row>
    <row r="30" spans="1:16" x14ac:dyDescent="0.25">
      <c r="A30" s="26"/>
      <c r="B30" s="27"/>
      <c r="C30" s="27"/>
      <c r="D30" s="27"/>
      <c r="E30" s="27"/>
      <c r="F30" s="27"/>
      <c r="G30" s="27"/>
      <c r="I30" s="21"/>
      <c r="J30" s="21"/>
      <c r="M30" s="32"/>
      <c r="N30" s="32"/>
      <c r="P30" s="21"/>
    </row>
    <row r="31" spans="1:16" x14ac:dyDescent="0.25">
      <c r="A31" s="26"/>
      <c r="F31" s="1" t="s">
        <v>37</v>
      </c>
      <c r="G31" s="27"/>
    </row>
    <row r="32" spans="1:16" x14ac:dyDescent="0.25">
      <c r="A32" s="28"/>
      <c r="C32" s="29"/>
      <c r="D32" s="75" t="s">
        <v>38</v>
      </c>
      <c r="E32" s="76"/>
      <c r="F32" s="77"/>
      <c r="G32" s="21"/>
    </row>
    <row r="33" spans="2:16" x14ac:dyDescent="0.25">
      <c r="C33" s="11" t="s">
        <v>35</v>
      </c>
      <c r="D33" s="12" t="s">
        <v>2</v>
      </c>
      <c r="E33" s="10" t="s">
        <v>3</v>
      </c>
      <c r="F33" s="13" t="s">
        <v>36</v>
      </c>
      <c r="G33" s="21"/>
    </row>
    <row r="34" spans="2:16" x14ac:dyDescent="0.25">
      <c r="C34" s="14"/>
      <c r="D34" s="15"/>
      <c r="F34" s="16"/>
      <c r="I34" s="32"/>
      <c r="J34" s="32"/>
      <c r="M34" s="32"/>
      <c r="N34" s="32"/>
    </row>
    <row r="35" spans="2:16" x14ac:dyDescent="0.25">
      <c r="C35" s="17">
        <v>2023</v>
      </c>
      <c r="D35" s="33">
        <f t="shared" ref="D35:D54" si="3">+B9+E9</f>
        <v>5963000</v>
      </c>
      <c r="E35" s="30">
        <f t="shared" ref="E35:E54" si="4">+C9+F9</f>
        <v>3859797.52</v>
      </c>
      <c r="F35" s="31">
        <f t="shared" ref="F35:F40" si="5">+D35+E35</f>
        <v>9822797.5199999996</v>
      </c>
      <c r="G35" s="30"/>
      <c r="H35" s="30"/>
      <c r="I35" s="30"/>
      <c r="J35" s="30"/>
      <c r="K35" s="30"/>
      <c r="M35" s="30"/>
      <c r="N35" s="30"/>
      <c r="P35" s="30"/>
    </row>
    <row r="36" spans="2:16" x14ac:dyDescent="0.25">
      <c r="C36" s="17">
        <v>2024</v>
      </c>
      <c r="D36" s="33">
        <f t="shared" si="3"/>
        <v>6559480</v>
      </c>
      <c r="E36" s="30">
        <f t="shared" si="4"/>
        <v>3311994.01</v>
      </c>
      <c r="F36" s="31">
        <f t="shared" si="5"/>
        <v>9871474.0099999998</v>
      </c>
      <c r="G36" s="30"/>
      <c r="H36" s="30"/>
      <c r="I36" s="30"/>
      <c r="K36" s="30"/>
      <c r="M36" s="30"/>
      <c r="N36" s="30"/>
      <c r="P36" s="30"/>
    </row>
    <row r="37" spans="2:16" x14ac:dyDescent="0.25">
      <c r="C37" s="17">
        <v>2025</v>
      </c>
      <c r="D37" s="33">
        <f t="shared" si="3"/>
        <v>7090960</v>
      </c>
      <c r="E37" s="30">
        <f t="shared" si="4"/>
        <v>3098472.14</v>
      </c>
      <c r="F37" s="31">
        <f t="shared" si="5"/>
        <v>10189432.140000001</v>
      </c>
      <c r="G37" s="30"/>
      <c r="H37" s="30"/>
      <c r="I37" s="30"/>
      <c r="K37" s="30"/>
      <c r="M37" s="30"/>
      <c r="N37" s="30"/>
      <c r="P37" s="30"/>
    </row>
    <row r="38" spans="2:16" x14ac:dyDescent="0.25">
      <c r="C38" s="17">
        <v>2026</v>
      </c>
      <c r="D38" s="33">
        <f t="shared" si="3"/>
        <v>6847440</v>
      </c>
      <c r="E38" s="30">
        <f t="shared" si="4"/>
        <v>2882386.25</v>
      </c>
      <c r="F38" s="31">
        <f t="shared" si="5"/>
        <v>9729826.25</v>
      </c>
      <c r="G38" s="30"/>
      <c r="H38" s="30"/>
      <c r="I38" s="30"/>
      <c r="K38" s="30"/>
      <c r="M38" s="30"/>
      <c r="N38" s="30"/>
      <c r="P38" s="30"/>
    </row>
    <row r="39" spans="2:16" x14ac:dyDescent="0.25">
      <c r="C39" s="17">
        <v>2027</v>
      </c>
      <c r="D39" s="33">
        <f t="shared" si="3"/>
        <v>6233920</v>
      </c>
      <c r="E39" s="30">
        <f t="shared" si="4"/>
        <v>2669561.7400000002</v>
      </c>
      <c r="F39" s="31">
        <f t="shared" si="5"/>
        <v>8903481.7400000002</v>
      </c>
      <c r="G39" s="30"/>
      <c r="H39" s="30"/>
      <c r="I39" s="30"/>
      <c r="K39" s="30"/>
      <c r="M39" s="30"/>
      <c r="N39" s="30"/>
      <c r="P39" s="30"/>
    </row>
    <row r="40" spans="2:16" x14ac:dyDescent="0.25">
      <c r="C40" s="17">
        <v>2028</v>
      </c>
      <c r="D40" s="33">
        <f t="shared" si="3"/>
        <v>6150400</v>
      </c>
      <c r="E40" s="30">
        <f t="shared" si="4"/>
        <v>2446357.41</v>
      </c>
      <c r="F40" s="31">
        <f t="shared" si="5"/>
        <v>8596757.4100000001</v>
      </c>
      <c r="G40" s="30"/>
      <c r="H40" s="30"/>
      <c r="I40" s="30"/>
      <c r="K40" s="30"/>
      <c r="M40" s="30"/>
      <c r="N40" s="30"/>
      <c r="P40" s="30"/>
    </row>
    <row r="41" spans="2:16" x14ac:dyDescent="0.25">
      <c r="C41" s="17">
        <v>2029</v>
      </c>
      <c r="D41" s="33">
        <f t="shared" si="3"/>
        <v>5476880</v>
      </c>
      <c r="E41" s="30">
        <f t="shared" si="4"/>
        <v>2209920.66</v>
      </c>
      <c r="F41" s="31">
        <f>+D41+E41</f>
        <v>7686800.6600000001</v>
      </c>
      <c r="G41" s="30"/>
      <c r="H41" s="30"/>
      <c r="I41" s="30"/>
      <c r="K41" s="30"/>
      <c r="M41" s="30"/>
      <c r="N41" s="30"/>
      <c r="P41" s="30"/>
    </row>
    <row r="42" spans="2:16" x14ac:dyDescent="0.25">
      <c r="C42" s="17">
        <v>2030</v>
      </c>
      <c r="D42" s="33">
        <f t="shared" si="3"/>
        <v>5155960</v>
      </c>
      <c r="E42" s="30">
        <f t="shared" si="4"/>
        <v>2008974.3</v>
      </c>
      <c r="F42" s="31">
        <f>+D42+E42</f>
        <v>7164934.2999999998</v>
      </c>
      <c r="G42" s="30"/>
      <c r="H42" s="30"/>
      <c r="I42" s="30"/>
      <c r="K42" s="30"/>
      <c r="M42" s="30"/>
      <c r="N42" s="30"/>
      <c r="P42" s="30"/>
    </row>
    <row r="43" spans="2:16" x14ac:dyDescent="0.25">
      <c r="C43" s="17">
        <v>2031</v>
      </c>
      <c r="D43" s="33">
        <f t="shared" si="3"/>
        <v>4830000</v>
      </c>
      <c r="E43" s="30">
        <f t="shared" si="4"/>
        <v>1809757.5</v>
      </c>
      <c r="F43" s="31">
        <f t="shared" ref="F43:F48" si="6">+D43+E43</f>
        <v>6639757.5</v>
      </c>
      <c r="G43" s="30"/>
      <c r="H43" s="30"/>
      <c r="I43" s="30"/>
      <c r="K43" s="30"/>
      <c r="M43" s="30"/>
      <c r="N43" s="30"/>
      <c r="P43" s="30"/>
    </row>
    <row r="44" spans="2:16" x14ac:dyDescent="0.25">
      <c r="B44" s="28"/>
      <c r="C44" s="17">
        <v>2032</v>
      </c>
      <c r="D44" s="33">
        <f t="shared" si="3"/>
        <v>5030000</v>
      </c>
      <c r="E44" s="30">
        <f t="shared" si="4"/>
        <v>1613565</v>
      </c>
      <c r="F44" s="31">
        <f t="shared" si="6"/>
        <v>6643565</v>
      </c>
      <c r="G44" s="30"/>
      <c r="H44" s="30"/>
      <c r="I44" s="30"/>
      <c r="K44" s="30"/>
      <c r="M44" s="30"/>
      <c r="N44" s="30"/>
      <c r="P44" s="30"/>
    </row>
    <row r="45" spans="2:16" x14ac:dyDescent="0.25">
      <c r="B45" s="28"/>
      <c r="C45" s="17">
        <v>2033</v>
      </c>
      <c r="D45" s="33">
        <f t="shared" si="3"/>
        <v>5220000</v>
      </c>
      <c r="E45" s="30">
        <f t="shared" si="4"/>
        <v>1425738.5</v>
      </c>
      <c r="F45" s="31">
        <f t="shared" si="6"/>
        <v>6645738.5</v>
      </c>
      <c r="G45" s="30"/>
      <c r="H45" s="30"/>
      <c r="I45" s="30"/>
      <c r="K45" s="30"/>
      <c r="M45" s="30"/>
      <c r="N45" s="30"/>
      <c r="P45" s="30"/>
    </row>
    <row r="46" spans="2:16" x14ac:dyDescent="0.25">
      <c r="B46" s="28"/>
      <c r="C46" s="17">
        <v>2034</v>
      </c>
      <c r="D46" s="33">
        <f t="shared" si="3"/>
        <v>5235000</v>
      </c>
      <c r="E46" s="30">
        <f t="shared" si="4"/>
        <v>1249127.75</v>
      </c>
      <c r="F46" s="31">
        <f t="shared" si="6"/>
        <v>6484127.75</v>
      </c>
      <c r="G46" s="30"/>
      <c r="H46" s="30"/>
      <c r="I46" s="30"/>
      <c r="K46" s="30"/>
      <c r="M46" s="30"/>
      <c r="N46" s="30"/>
      <c r="P46" s="30"/>
    </row>
    <row r="47" spans="2:16" x14ac:dyDescent="0.25">
      <c r="B47" s="28"/>
      <c r="C47" s="17">
        <v>2035</v>
      </c>
      <c r="D47" s="33">
        <f t="shared" si="3"/>
        <v>5425000</v>
      </c>
      <c r="E47" s="30">
        <f t="shared" si="4"/>
        <v>1069188.25</v>
      </c>
      <c r="F47" s="31">
        <f t="shared" si="6"/>
        <v>6494188.25</v>
      </c>
      <c r="G47" s="30"/>
      <c r="H47" s="30"/>
      <c r="I47" s="30"/>
      <c r="K47" s="30"/>
      <c r="M47" s="30"/>
      <c r="N47" s="30"/>
      <c r="P47" s="30"/>
    </row>
    <row r="48" spans="2:16" x14ac:dyDescent="0.25">
      <c r="B48" s="28"/>
      <c r="C48" s="17">
        <v>2036</v>
      </c>
      <c r="D48" s="33">
        <f t="shared" si="3"/>
        <v>5150000</v>
      </c>
      <c r="E48" s="30">
        <f t="shared" si="4"/>
        <v>893182.5</v>
      </c>
      <c r="F48" s="31">
        <f t="shared" si="6"/>
        <v>6043182.5</v>
      </c>
      <c r="G48" s="30"/>
      <c r="H48" s="30"/>
      <c r="I48" s="30"/>
      <c r="K48" s="30"/>
      <c r="M48" s="30"/>
      <c r="N48" s="30"/>
      <c r="P48" s="30"/>
    </row>
    <row r="49" spans="2:16" x14ac:dyDescent="0.25">
      <c r="B49" s="28"/>
      <c r="C49" s="17">
        <v>2037</v>
      </c>
      <c r="D49" s="33">
        <f t="shared" si="3"/>
        <v>5185000</v>
      </c>
      <c r="E49" s="30">
        <f t="shared" si="4"/>
        <v>727051.5</v>
      </c>
      <c r="F49" s="31">
        <f t="shared" ref="F49:F50" si="7">+D49+E49</f>
        <v>5912051.5</v>
      </c>
      <c r="G49" s="30"/>
      <c r="H49" s="30"/>
      <c r="I49" s="30"/>
      <c r="K49" s="30"/>
      <c r="M49" s="30"/>
      <c r="N49" s="30"/>
      <c r="P49" s="30"/>
    </row>
    <row r="50" spans="2:16" x14ac:dyDescent="0.25">
      <c r="B50" s="28"/>
      <c r="C50" s="17">
        <v>2038</v>
      </c>
      <c r="D50" s="33">
        <f t="shared" si="3"/>
        <v>4895000</v>
      </c>
      <c r="E50" s="30">
        <f t="shared" si="4"/>
        <v>566972</v>
      </c>
      <c r="F50" s="31">
        <f t="shared" si="7"/>
        <v>5461972</v>
      </c>
      <c r="G50" s="30"/>
      <c r="H50" s="30"/>
      <c r="I50" s="30"/>
      <c r="K50" s="30"/>
      <c r="M50" s="30"/>
      <c r="N50" s="30"/>
      <c r="P50" s="30"/>
    </row>
    <row r="51" spans="2:16" x14ac:dyDescent="0.25">
      <c r="B51" s="28"/>
      <c r="C51" s="17">
        <v>2039</v>
      </c>
      <c r="D51" s="33">
        <f t="shared" si="3"/>
        <v>4545000</v>
      </c>
      <c r="E51" s="30">
        <f t="shared" si="4"/>
        <v>415835.25</v>
      </c>
      <c r="F51" s="31">
        <f t="shared" ref="F51" si="8">+D51+E51</f>
        <v>4960835.25</v>
      </c>
      <c r="G51" s="30"/>
      <c r="H51" s="30"/>
      <c r="I51" s="30"/>
      <c r="K51" s="30"/>
      <c r="M51" s="30"/>
      <c r="N51" s="30"/>
      <c r="P51" s="30"/>
    </row>
    <row r="52" spans="2:16" x14ac:dyDescent="0.25">
      <c r="B52" s="28"/>
      <c r="C52" s="17">
        <v>2040</v>
      </c>
      <c r="D52" s="33">
        <f t="shared" si="3"/>
        <v>4315000</v>
      </c>
      <c r="E52" s="30">
        <f t="shared" si="4"/>
        <v>273259.5</v>
      </c>
      <c r="F52" s="31">
        <f>+D52+E52</f>
        <v>4588259.5</v>
      </c>
      <c r="G52" s="30"/>
      <c r="H52" s="30"/>
      <c r="I52" s="30"/>
      <c r="K52" s="30"/>
      <c r="M52" s="30"/>
      <c r="N52" s="30"/>
      <c r="P52" s="30"/>
    </row>
    <row r="53" spans="2:16" x14ac:dyDescent="0.25">
      <c r="B53" s="28"/>
      <c r="C53" s="17">
        <v>2041</v>
      </c>
      <c r="D53" s="33">
        <f t="shared" si="3"/>
        <v>3720000</v>
      </c>
      <c r="E53" s="30">
        <f t="shared" si="4"/>
        <v>142611</v>
      </c>
      <c r="F53" s="31">
        <f>+D53+E53</f>
        <v>3862611</v>
      </c>
      <c r="G53" s="30"/>
      <c r="H53" s="30"/>
      <c r="I53" s="30"/>
      <c r="K53" s="30"/>
      <c r="M53" s="30"/>
      <c r="N53" s="30"/>
      <c r="P53" s="30"/>
    </row>
    <row r="54" spans="2:16" x14ac:dyDescent="0.25">
      <c r="B54" s="28"/>
      <c r="C54" s="17">
        <v>2042</v>
      </c>
      <c r="D54" s="33">
        <f t="shared" si="3"/>
        <v>1965000</v>
      </c>
      <c r="E54" s="30">
        <f t="shared" si="4"/>
        <v>40783.5</v>
      </c>
      <c r="F54" s="31">
        <f>+D54+E54</f>
        <v>2005783.5</v>
      </c>
      <c r="G54" s="30"/>
      <c r="H54" s="30"/>
      <c r="I54" s="30"/>
      <c r="K54" s="30"/>
      <c r="M54" s="30"/>
      <c r="N54" s="30"/>
      <c r="P54" s="30"/>
    </row>
    <row r="55" spans="2:16" x14ac:dyDescent="0.25">
      <c r="B55" s="28"/>
      <c r="C55" s="22" t="s">
        <v>4</v>
      </c>
      <c r="D55" s="23">
        <f>SUM(D35:D54)</f>
        <v>104993040</v>
      </c>
      <c r="E55" s="24">
        <f>SUM(E35:E54)</f>
        <v>32714536.280000001</v>
      </c>
      <c r="F55" s="25">
        <f>SUM(F35:F54)</f>
        <v>137707576.28</v>
      </c>
      <c r="H55" s="30"/>
      <c r="I55" s="30"/>
      <c r="P55" s="30"/>
    </row>
    <row r="56" spans="2:16" x14ac:dyDescent="0.25">
      <c r="B56" s="26"/>
      <c r="C56" s="27"/>
      <c r="D56" s="27"/>
      <c r="E56" s="27"/>
      <c r="F56" s="27"/>
      <c r="H56" s="30"/>
      <c r="I56" s="30"/>
      <c r="M56" s="30"/>
      <c r="P56" s="30"/>
    </row>
    <row r="57" spans="2:16" x14ac:dyDescent="0.25">
      <c r="F57" s="30"/>
    </row>
    <row r="58" spans="2:16" x14ac:dyDescent="0.25">
      <c r="C58" s="30"/>
      <c r="D58" s="30"/>
      <c r="E58" s="30"/>
      <c r="F58" s="30"/>
    </row>
    <row r="59" spans="2:16" x14ac:dyDescent="0.25">
      <c r="C59" s="32"/>
      <c r="D59" s="32"/>
      <c r="E59" s="32"/>
      <c r="F59" s="32"/>
    </row>
  </sheetData>
  <mergeCells count="6">
    <mergeCell ref="D32:F32"/>
    <mergeCell ref="A1:G1"/>
    <mergeCell ref="A2:G2"/>
    <mergeCell ref="A3:G3"/>
    <mergeCell ref="B6:D6"/>
    <mergeCell ref="E6:G6"/>
  </mergeCells>
  <pageMargins left="0.5" right="0.5" top="0.75" bottom="0.75" header="0.5" footer="0.5"/>
  <pageSetup scale="95" firstPageNumber="0" orientation="portrait"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J59"/>
  <sheetViews>
    <sheetView zoomScaleNormal="100" workbookViewId="0">
      <selection activeCell="F20" sqref="F20"/>
    </sheetView>
  </sheetViews>
  <sheetFormatPr defaultRowHeight="13.2" x14ac:dyDescent="0.25"/>
  <cols>
    <col min="1" max="1" width="10" style="1" customWidth="1"/>
    <col min="2" max="7" width="15" style="1" customWidth="1"/>
    <col min="8" max="8" width="13" style="1" customWidth="1"/>
    <col min="9" max="10" width="12.6640625" style="1" customWidth="1"/>
    <col min="11" max="256" width="9.109375" style="1"/>
    <col min="257" max="257" width="9.5546875" style="1" customWidth="1"/>
    <col min="258" max="263" width="13.5546875" style="1" customWidth="1"/>
    <col min="264" max="264" width="9.109375" style="1"/>
    <col min="265" max="266" width="12.6640625" style="1" customWidth="1"/>
    <col min="267" max="512" width="9.109375" style="1"/>
    <col min="513" max="513" width="9.5546875" style="1" customWidth="1"/>
    <col min="514" max="519" width="13.5546875" style="1" customWidth="1"/>
    <col min="520" max="520" width="9.109375" style="1"/>
    <col min="521" max="522" width="12.6640625" style="1" customWidth="1"/>
    <col min="523" max="768" width="9.109375" style="1"/>
    <col min="769" max="769" width="9.5546875" style="1" customWidth="1"/>
    <col min="770" max="775" width="13.5546875" style="1" customWidth="1"/>
    <col min="776" max="776" width="9.109375" style="1"/>
    <col min="777" max="778" width="12.6640625" style="1" customWidth="1"/>
    <col min="779" max="1024" width="9.109375" style="1"/>
    <col min="1025" max="1025" width="9.5546875" style="1" customWidth="1"/>
    <col min="1026" max="1031" width="13.5546875" style="1" customWidth="1"/>
    <col min="1032" max="1032" width="9.109375" style="1"/>
    <col min="1033" max="1034" width="12.6640625" style="1" customWidth="1"/>
    <col min="1035" max="1280" width="9.109375" style="1"/>
    <col min="1281" max="1281" width="9.5546875" style="1" customWidth="1"/>
    <col min="1282" max="1287" width="13.5546875" style="1" customWidth="1"/>
    <col min="1288" max="1288" width="9.109375" style="1"/>
    <col min="1289" max="1290" width="12.6640625" style="1" customWidth="1"/>
    <col min="1291" max="1536" width="9.109375" style="1"/>
    <col min="1537" max="1537" width="9.5546875" style="1" customWidth="1"/>
    <col min="1538" max="1543" width="13.5546875" style="1" customWidth="1"/>
    <col min="1544" max="1544" width="9.109375" style="1"/>
    <col min="1545" max="1546" width="12.6640625" style="1" customWidth="1"/>
    <col min="1547" max="1792" width="9.109375" style="1"/>
    <col min="1793" max="1793" width="9.5546875" style="1" customWidth="1"/>
    <col min="1794" max="1799" width="13.5546875" style="1" customWidth="1"/>
    <col min="1800" max="1800" width="9.109375" style="1"/>
    <col min="1801" max="1802" width="12.6640625" style="1" customWidth="1"/>
    <col min="1803" max="2048" width="9.109375" style="1"/>
    <col min="2049" max="2049" width="9.5546875" style="1" customWidth="1"/>
    <col min="2050" max="2055" width="13.5546875" style="1" customWidth="1"/>
    <col min="2056" max="2056" width="9.109375" style="1"/>
    <col min="2057" max="2058" width="12.6640625" style="1" customWidth="1"/>
    <col min="2059" max="2304" width="9.109375" style="1"/>
    <col min="2305" max="2305" width="9.5546875" style="1" customWidth="1"/>
    <col min="2306" max="2311" width="13.5546875" style="1" customWidth="1"/>
    <col min="2312" max="2312" width="9.109375" style="1"/>
    <col min="2313" max="2314" width="12.6640625" style="1" customWidth="1"/>
    <col min="2315" max="2560" width="9.109375" style="1"/>
    <col min="2561" max="2561" width="9.5546875" style="1" customWidth="1"/>
    <col min="2562" max="2567" width="13.5546875" style="1" customWidth="1"/>
    <col min="2568" max="2568" width="9.109375" style="1"/>
    <col min="2569" max="2570" width="12.6640625" style="1" customWidth="1"/>
    <col min="2571" max="2816" width="9.109375" style="1"/>
    <col min="2817" max="2817" width="9.5546875" style="1" customWidth="1"/>
    <col min="2818" max="2823" width="13.5546875" style="1" customWidth="1"/>
    <col min="2824" max="2824" width="9.109375" style="1"/>
    <col min="2825" max="2826" width="12.6640625" style="1" customWidth="1"/>
    <col min="2827" max="3072" width="9.109375" style="1"/>
    <col min="3073" max="3073" width="9.5546875" style="1" customWidth="1"/>
    <col min="3074" max="3079" width="13.5546875" style="1" customWidth="1"/>
    <col min="3080" max="3080" width="9.109375" style="1"/>
    <col min="3081" max="3082" width="12.6640625" style="1" customWidth="1"/>
    <col min="3083" max="3328" width="9.109375" style="1"/>
    <col min="3329" max="3329" width="9.5546875" style="1" customWidth="1"/>
    <col min="3330" max="3335" width="13.5546875" style="1" customWidth="1"/>
    <col min="3336" max="3336" width="9.109375" style="1"/>
    <col min="3337" max="3338" width="12.6640625" style="1" customWidth="1"/>
    <col min="3339" max="3584" width="9.109375" style="1"/>
    <col min="3585" max="3585" width="9.5546875" style="1" customWidth="1"/>
    <col min="3586" max="3591" width="13.5546875" style="1" customWidth="1"/>
    <col min="3592" max="3592" width="9.109375" style="1"/>
    <col min="3593" max="3594" width="12.6640625" style="1" customWidth="1"/>
    <col min="3595" max="3840" width="9.109375" style="1"/>
    <col min="3841" max="3841" width="9.5546875" style="1" customWidth="1"/>
    <col min="3842" max="3847" width="13.5546875" style="1" customWidth="1"/>
    <col min="3848" max="3848" width="9.109375" style="1"/>
    <col min="3849" max="3850" width="12.6640625" style="1" customWidth="1"/>
    <col min="3851" max="4096" width="9.109375" style="1"/>
    <col min="4097" max="4097" width="9.5546875" style="1" customWidth="1"/>
    <col min="4098" max="4103" width="13.5546875" style="1" customWidth="1"/>
    <col min="4104" max="4104" width="9.109375" style="1"/>
    <col min="4105" max="4106" width="12.6640625" style="1" customWidth="1"/>
    <col min="4107" max="4352" width="9.109375" style="1"/>
    <col min="4353" max="4353" width="9.5546875" style="1" customWidth="1"/>
    <col min="4354" max="4359" width="13.5546875" style="1" customWidth="1"/>
    <col min="4360" max="4360" width="9.109375" style="1"/>
    <col min="4361" max="4362" width="12.6640625" style="1" customWidth="1"/>
    <col min="4363" max="4608" width="9.109375" style="1"/>
    <col min="4609" max="4609" width="9.5546875" style="1" customWidth="1"/>
    <col min="4610" max="4615" width="13.5546875" style="1" customWidth="1"/>
    <col min="4616" max="4616" width="9.109375" style="1"/>
    <col min="4617" max="4618" width="12.6640625" style="1" customWidth="1"/>
    <col min="4619" max="4864" width="9.109375" style="1"/>
    <col min="4865" max="4865" width="9.5546875" style="1" customWidth="1"/>
    <col min="4866" max="4871" width="13.5546875" style="1" customWidth="1"/>
    <col min="4872" max="4872" width="9.109375" style="1"/>
    <col min="4873" max="4874" width="12.6640625" style="1" customWidth="1"/>
    <col min="4875" max="5120" width="9.109375" style="1"/>
    <col min="5121" max="5121" width="9.5546875" style="1" customWidth="1"/>
    <col min="5122" max="5127" width="13.5546875" style="1" customWidth="1"/>
    <col min="5128" max="5128" width="9.109375" style="1"/>
    <col min="5129" max="5130" width="12.6640625" style="1" customWidth="1"/>
    <col min="5131" max="5376" width="9.109375" style="1"/>
    <col min="5377" max="5377" width="9.5546875" style="1" customWidth="1"/>
    <col min="5378" max="5383" width="13.5546875" style="1" customWidth="1"/>
    <col min="5384" max="5384" width="9.109375" style="1"/>
    <col min="5385" max="5386" width="12.6640625" style="1" customWidth="1"/>
    <col min="5387" max="5632" width="9.109375" style="1"/>
    <col min="5633" max="5633" width="9.5546875" style="1" customWidth="1"/>
    <col min="5634" max="5639" width="13.5546875" style="1" customWidth="1"/>
    <col min="5640" max="5640" width="9.109375" style="1"/>
    <col min="5641" max="5642" width="12.6640625" style="1" customWidth="1"/>
    <col min="5643" max="5888" width="9.109375" style="1"/>
    <col min="5889" max="5889" width="9.5546875" style="1" customWidth="1"/>
    <col min="5890" max="5895" width="13.5546875" style="1" customWidth="1"/>
    <col min="5896" max="5896" width="9.109375" style="1"/>
    <col min="5897" max="5898" width="12.6640625" style="1" customWidth="1"/>
    <col min="5899" max="6144" width="9.109375" style="1"/>
    <col min="6145" max="6145" width="9.5546875" style="1" customWidth="1"/>
    <col min="6146" max="6151" width="13.5546875" style="1" customWidth="1"/>
    <col min="6152" max="6152" width="9.109375" style="1"/>
    <col min="6153" max="6154" width="12.6640625" style="1" customWidth="1"/>
    <col min="6155" max="6400" width="9.109375" style="1"/>
    <col min="6401" max="6401" width="9.5546875" style="1" customWidth="1"/>
    <col min="6402" max="6407" width="13.5546875" style="1" customWidth="1"/>
    <col min="6408" max="6408" width="9.109375" style="1"/>
    <col min="6409" max="6410" width="12.6640625" style="1" customWidth="1"/>
    <col min="6411" max="6656" width="9.109375" style="1"/>
    <col min="6657" max="6657" width="9.5546875" style="1" customWidth="1"/>
    <col min="6658" max="6663" width="13.5546875" style="1" customWidth="1"/>
    <col min="6664" max="6664" width="9.109375" style="1"/>
    <col min="6665" max="6666" width="12.6640625" style="1" customWidth="1"/>
    <col min="6667" max="6912" width="9.109375" style="1"/>
    <col min="6913" max="6913" width="9.5546875" style="1" customWidth="1"/>
    <col min="6914" max="6919" width="13.5546875" style="1" customWidth="1"/>
    <col min="6920" max="6920" width="9.109375" style="1"/>
    <col min="6921" max="6922" width="12.6640625" style="1" customWidth="1"/>
    <col min="6923" max="7168" width="9.109375" style="1"/>
    <col min="7169" max="7169" width="9.5546875" style="1" customWidth="1"/>
    <col min="7170" max="7175" width="13.5546875" style="1" customWidth="1"/>
    <col min="7176" max="7176" width="9.109375" style="1"/>
    <col min="7177" max="7178" width="12.6640625" style="1" customWidth="1"/>
    <col min="7179" max="7424" width="9.109375" style="1"/>
    <col min="7425" max="7425" width="9.5546875" style="1" customWidth="1"/>
    <col min="7426" max="7431" width="13.5546875" style="1" customWidth="1"/>
    <col min="7432" max="7432" width="9.109375" style="1"/>
    <col min="7433" max="7434" width="12.6640625" style="1" customWidth="1"/>
    <col min="7435" max="7680" width="9.109375" style="1"/>
    <col min="7681" max="7681" width="9.5546875" style="1" customWidth="1"/>
    <col min="7682" max="7687" width="13.5546875" style="1" customWidth="1"/>
    <col min="7688" max="7688" width="9.109375" style="1"/>
    <col min="7689" max="7690" width="12.6640625" style="1" customWidth="1"/>
    <col min="7691" max="7936" width="9.109375" style="1"/>
    <col min="7937" max="7937" width="9.5546875" style="1" customWidth="1"/>
    <col min="7938" max="7943" width="13.5546875" style="1" customWidth="1"/>
    <col min="7944" max="7944" width="9.109375" style="1"/>
    <col min="7945" max="7946" width="12.6640625" style="1" customWidth="1"/>
    <col min="7947" max="8192" width="9.109375" style="1"/>
    <col min="8193" max="8193" width="9.5546875" style="1" customWidth="1"/>
    <col min="8194" max="8199" width="13.5546875" style="1" customWidth="1"/>
    <col min="8200" max="8200" width="9.109375" style="1"/>
    <col min="8201" max="8202" width="12.6640625" style="1" customWidth="1"/>
    <col min="8203" max="8448" width="9.109375" style="1"/>
    <col min="8449" max="8449" width="9.5546875" style="1" customWidth="1"/>
    <col min="8450" max="8455" width="13.5546875" style="1" customWidth="1"/>
    <col min="8456" max="8456" width="9.109375" style="1"/>
    <col min="8457" max="8458" width="12.6640625" style="1" customWidth="1"/>
    <col min="8459" max="8704" width="9.109375" style="1"/>
    <col min="8705" max="8705" width="9.5546875" style="1" customWidth="1"/>
    <col min="8706" max="8711" width="13.5546875" style="1" customWidth="1"/>
    <col min="8712" max="8712" width="9.109375" style="1"/>
    <col min="8713" max="8714" width="12.6640625" style="1" customWidth="1"/>
    <col min="8715" max="8960" width="9.109375" style="1"/>
    <col min="8961" max="8961" width="9.5546875" style="1" customWidth="1"/>
    <col min="8962" max="8967" width="13.5546875" style="1" customWidth="1"/>
    <col min="8968" max="8968" width="9.109375" style="1"/>
    <col min="8969" max="8970" width="12.6640625" style="1" customWidth="1"/>
    <col min="8971" max="9216" width="9.109375" style="1"/>
    <col min="9217" max="9217" width="9.5546875" style="1" customWidth="1"/>
    <col min="9218" max="9223" width="13.5546875" style="1" customWidth="1"/>
    <col min="9224" max="9224" width="9.109375" style="1"/>
    <col min="9225" max="9226" width="12.6640625" style="1" customWidth="1"/>
    <col min="9227" max="9472" width="9.109375" style="1"/>
    <col min="9473" max="9473" width="9.5546875" style="1" customWidth="1"/>
    <col min="9474" max="9479" width="13.5546875" style="1" customWidth="1"/>
    <col min="9480" max="9480" width="9.109375" style="1"/>
    <col min="9481" max="9482" width="12.6640625" style="1" customWidth="1"/>
    <col min="9483" max="9728" width="9.109375" style="1"/>
    <col min="9729" max="9729" width="9.5546875" style="1" customWidth="1"/>
    <col min="9730" max="9735" width="13.5546875" style="1" customWidth="1"/>
    <col min="9736" max="9736" width="9.109375" style="1"/>
    <col min="9737" max="9738" width="12.6640625" style="1" customWidth="1"/>
    <col min="9739" max="9984" width="9.109375" style="1"/>
    <col min="9985" max="9985" width="9.5546875" style="1" customWidth="1"/>
    <col min="9986" max="9991" width="13.5546875" style="1" customWidth="1"/>
    <col min="9992" max="9992" width="9.109375" style="1"/>
    <col min="9993" max="9994" width="12.6640625" style="1" customWidth="1"/>
    <col min="9995" max="10240" width="9.109375" style="1"/>
    <col min="10241" max="10241" width="9.5546875" style="1" customWidth="1"/>
    <col min="10242" max="10247" width="13.5546875" style="1" customWidth="1"/>
    <col min="10248" max="10248" width="9.109375" style="1"/>
    <col min="10249" max="10250" width="12.6640625" style="1" customWidth="1"/>
    <col min="10251" max="10496" width="9.109375" style="1"/>
    <col min="10497" max="10497" width="9.5546875" style="1" customWidth="1"/>
    <col min="10498" max="10503" width="13.5546875" style="1" customWidth="1"/>
    <col min="10504" max="10504" width="9.109375" style="1"/>
    <col min="10505" max="10506" width="12.6640625" style="1" customWidth="1"/>
    <col min="10507" max="10752" width="9.109375" style="1"/>
    <col min="10753" max="10753" width="9.5546875" style="1" customWidth="1"/>
    <col min="10754" max="10759" width="13.5546875" style="1" customWidth="1"/>
    <col min="10760" max="10760" width="9.109375" style="1"/>
    <col min="10761" max="10762" width="12.6640625" style="1" customWidth="1"/>
    <col min="10763" max="11008" width="9.109375" style="1"/>
    <col min="11009" max="11009" width="9.5546875" style="1" customWidth="1"/>
    <col min="11010" max="11015" width="13.5546875" style="1" customWidth="1"/>
    <col min="11016" max="11016" width="9.109375" style="1"/>
    <col min="11017" max="11018" width="12.6640625" style="1" customWidth="1"/>
    <col min="11019" max="11264" width="9.109375" style="1"/>
    <col min="11265" max="11265" width="9.5546875" style="1" customWidth="1"/>
    <col min="11266" max="11271" width="13.5546875" style="1" customWidth="1"/>
    <col min="11272" max="11272" width="9.109375" style="1"/>
    <col min="11273" max="11274" width="12.6640625" style="1" customWidth="1"/>
    <col min="11275" max="11520" width="9.109375" style="1"/>
    <col min="11521" max="11521" width="9.5546875" style="1" customWidth="1"/>
    <col min="11522" max="11527" width="13.5546875" style="1" customWidth="1"/>
    <col min="11528" max="11528" width="9.109375" style="1"/>
    <col min="11529" max="11530" width="12.6640625" style="1" customWidth="1"/>
    <col min="11531" max="11776" width="9.109375" style="1"/>
    <col min="11777" max="11777" width="9.5546875" style="1" customWidth="1"/>
    <col min="11778" max="11783" width="13.5546875" style="1" customWidth="1"/>
    <col min="11784" max="11784" width="9.109375" style="1"/>
    <col min="11785" max="11786" width="12.6640625" style="1" customWidth="1"/>
    <col min="11787" max="12032" width="9.109375" style="1"/>
    <col min="12033" max="12033" width="9.5546875" style="1" customWidth="1"/>
    <col min="12034" max="12039" width="13.5546875" style="1" customWidth="1"/>
    <col min="12040" max="12040" width="9.109375" style="1"/>
    <col min="12041" max="12042" width="12.6640625" style="1" customWidth="1"/>
    <col min="12043" max="12288" width="9.109375" style="1"/>
    <col min="12289" max="12289" width="9.5546875" style="1" customWidth="1"/>
    <col min="12290" max="12295" width="13.5546875" style="1" customWidth="1"/>
    <col min="12296" max="12296" width="9.109375" style="1"/>
    <col min="12297" max="12298" width="12.6640625" style="1" customWidth="1"/>
    <col min="12299" max="12544" width="9.109375" style="1"/>
    <col min="12545" max="12545" width="9.5546875" style="1" customWidth="1"/>
    <col min="12546" max="12551" width="13.5546875" style="1" customWidth="1"/>
    <col min="12552" max="12552" width="9.109375" style="1"/>
    <col min="12553" max="12554" width="12.6640625" style="1" customWidth="1"/>
    <col min="12555" max="12800" width="9.109375" style="1"/>
    <col min="12801" max="12801" width="9.5546875" style="1" customWidth="1"/>
    <col min="12802" max="12807" width="13.5546875" style="1" customWidth="1"/>
    <col min="12808" max="12808" width="9.109375" style="1"/>
    <col min="12809" max="12810" width="12.6640625" style="1" customWidth="1"/>
    <col min="12811" max="13056" width="9.109375" style="1"/>
    <col min="13057" max="13057" width="9.5546875" style="1" customWidth="1"/>
    <col min="13058" max="13063" width="13.5546875" style="1" customWidth="1"/>
    <col min="13064" max="13064" width="9.109375" style="1"/>
    <col min="13065" max="13066" width="12.6640625" style="1" customWidth="1"/>
    <col min="13067" max="13312" width="9.109375" style="1"/>
    <col min="13313" max="13313" width="9.5546875" style="1" customWidth="1"/>
    <col min="13314" max="13319" width="13.5546875" style="1" customWidth="1"/>
    <col min="13320" max="13320" width="9.109375" style="1"/>
    <col min="13321" max="13322" width="12.6640625" style="1" customWidth="1"/>
    <col min="13323" max="13568" width="9.109375" style="1"/>
    <col min="13569" max="13569" width="9.5546875" style="1" customWidth="1"/>
    <col min="13570" max="13575" width="13.5546875" style="1" customWidth="1"/>
    <col min="13576" max="13576" width="9.109375" style="1"/>
    <col min="13577" max="13578" width="12.6640625" style="1" customWidth="1"/>
    <col min="13579" max="13824" width="9.109375" style="1"/>
    <col min="13825" max="13825" width="9.5546875" style="1" customWidth="1"/>
    <col min="13826" max="13831" width="13.5546875" style="1" customWidth="1"/>
    <col min="13832" max="13832" width="9.109375" style="1"/>
    <col min="13833" max="13834" width="12.6640625" style="1" customWidth="1"/>
    <col min="13835" max="14080" width="9.109375" style="1"/>
    <col min="14081" max="14081" width="9.5546875" style="1" customWidth="1"/>
    <col min="14082" max="14087" width="13.5546875" style="1" customWidth="1"/>
    <col min="14088" max="14088" width="9.109375" style="1"/>
    <col min="14089" max="14090" width="12.6640625" style="1" customWidth="1"/>
    <col min="14091" max="14336" width="9.109375" style="1"/>
    <col min="14337" max="14337" width="9.5546875" style="1" customWidth="1"/>
    <col min="14338" max="14343" width="13.5546875" style="1" customWidth="1"/>
    <col min="14344" max="14344" width="9.109375" style="1"/>
    <col min="14345" max="14346" width="12.6640625" style="1" customWidth="1"/>
    <col min="14347" max="14592" width="9.109375" style="1"/>
    <col min="14593" max="14593" width="9.5546875" style="1" customWidth="1"/>
    <col min="14594" max="14599" width="13.5546875" style="1" customWidth="1"/>
    <col min="14600" max="14600" width="9.109375" style="1"/>
    <col min="14601" max="14602" width="12.6640625" style="1" customWidth="1"/>
    <col min="14603" max="14848" width="9.109375" style="1"/>
    <col min="14849" max="14849" width="9.5546875" style="1" customWidth="1"/>
    <col min="14850" max="14855" width="13.5546875" style="1" customWidth="1"/>
    <col min="14856" max="14856" width="9.109375" style="1"/>
    <col min="14857" max="14858" width="12.6640625" style="1" customWidth="1"/>
    <col min="14859" max="15104" width="9.109375" style="1"/>
    <col min="15105" max="15105" width="9.5546875" style="1" customWidth="1"/>
    <col min="15106" max="15111" width="13.5546875" style="1" customWidth="1"/>
    <col min="15112" max="15112" width="9.109375" style="1"/>
    <col min="15113" max="15114" width="12.6640625" style="1" customWidth="1"/>
    <col min="15115" max="15360" width="9.109375" style="1"/>
    <col min="15361" max="15361" width="9.5546875" style="1" customWidth="1"/>
    <col min="15362" max="15367" width="13.5546875" style="1" customWidth="1"/>
    <col min="15368" max="15368" width="9.109375" style="1"/>
    <col min="15369" max="15370" width="12.6640625" style="1" customWidth="1"/>
    <col min="15371" max="15616" width="9.109375" style="1"/>
    <col min="15617" max="15617" width="9.5546875" style="1" customWidth="1"/>
    <col min="15618" max="15623" width="13.5546875" style="1" customWidth="1"/>
    <col min="15624" max="15624" width="9.109375" style="1"/>
    <col min="15625" max="15626" width="12.6640625" style="1" customWidth="1"/>
    <col min="15627" max="15872" width="9.109375" style="1"/>
    <col min="15873" max="15873" width="9.5546875" style="1" customWidth="1"/>
    <col min="15874" max="15879" width="13.5546875" style="1" customWidth="1"/>
    <col min="15880" max="15880" width="9.109375" style="1"/>
    <col min="15881" max="15882" width="12.6640625" style="1" customWidth="1"/>
    <col min="15883" max="16128" width="9.109375" style="1"/>
    <col min="16129" max="16129" width="9.5546875" style="1" customWidth="1"/>
    <col min="16130" max="16135" width="13.5546875" style="1" customWidth="1"/>
    <col min="16136" max="16136" width="9.109375" style="1"/>
    <col min="16137" max="16138" width="12.6640625" style="1" customWidth="1"/>
    <col min="16139" max="16384" width="9.109375" style="1"/>
  </cols>
  <sheetData>
    <row r="1" spans="1:10" ht="17.399999999999999" x14ac:dyDescent="0.3">
      <c r="A1" s="69" t="s">
        <v>0</v>
      </c>
      <c r="B1" s="69"/>
      <c r="C1" s="69"/>
      <c r="D1" s="69"/>
      <c r="E1" s="69"/>
      <c r="F1" s="69"/>
      <c r="G1" s="69"/>
    </row>
    <row r="2" spans="1:10" ht="17.399999999999999" x14ac:dyDescent="0.3">
      <c r="A2" s="69" t="s">
        <v>141</v>
      </c>
      <c r="B2" s="69"/>
      <c r="C2" s="69"/>
      <c r="D2" s="69"/>
      <c r="E2" s="69"/>
      <c r="F2" s="69"/>
      <c r="G2" s="69"/>
    </row>
    <row r="3" spans="1:10" ht="15.6" x14ac:dyDescent="0.3">
      <c r="A3" s="70" t="s">
        <v>32</v>
      </c>
      <c r="B3" s="70"/>
      <c r="C3" s="70"/>
      <c r="D3" s="70"/>
      <c r="E3" s="70"/>
      <c r="F3" s="70"/>
      <c r="G3" s="70"/>
    </row>
    <row r="4" spans="1:10" ht="17.399999999999999" x14ac:dyDescent="0.3">
      <c r="A4" s="8"/>
      <c r="B4" s="8"/>
      <c r="C4" s="8"/>
      <c r="D4" s="8"/>
      <c r="E4" s="8"/>
      <c r="F4" s="8"/>
      <c r="G4" s="8"/>
    </row>
    <row r="5" spans="1:10" ht="15" customHeight="1" x14ac:dyDescent="0.3">
      <c r="A5" s="8"/>
      <c r="B5" s="8"/>
      <c r="C5" s="8"/>
      <c r="D5" s="8"/>
      <c r="E5" s="8"/>
      <c r="F5" s="8"/>
      <c r="G5" s="8"/>
    </row>
    <row r="6" spans="1:10" x14ac:dyDescent="0.25">
      <c r="A6" s="9"/>
      <c r="B6" s="75" t="s">
        <v>33</v>
      </c>
      <c r="C6" s="76"/>
      <c r="D6" s="77"/>
      <c r="E6" s="75" t="s">
        <v>34</v>
      </c>
      <c r="F6" s="78"/>
      <c r="G6" s="79"/>
    </row>
    <row r="7" spans="1:10" x14ac:dyDescent="0.25">
      <c r="A7" s="11" t="s">
        <v>35</v>
      </c>
      <c r="B7" s="12" t="s">
        <v>2</v>
      </c>
      <c r="C7" s="10" t="s">
        <v>3</v>
      </c>
      <c r="D7" s="13" t="s">
        <v>36</v>
      </c>
      <c r="E7" s="12" t="s">
        <v>2</v>
      </c>
      <c r="F7" s="10" t="s">
        <v>3</v>
      </c>
      <c r="G7" s="13" t="s">
        <v>36</v>
      </c>
    </row>
    <row r="8" spans="1:10" ht="9.75" customHeight="1" x14ac:dyDescent="0.25">
      <c r="A8" s="14"/>
      <c r="B8" s="15"/>
      <c r="D8" s="16"/>
      <c r="E8" s="15"/>
      <c r="G8" s="16"/>
    </row>
    <row r="9" spans="1:10" x14ac:dyDescent="0.25">
      <c r="A9" s="17">
        <v>2023</v>
      </c>
      <c r="B9" s="18">
        <f>+Bond13A!D14+Bond12!B14+Bond13B!B14+Bond15!B14+Bond16B!B14+Bond16A!B14+Bond17A!D14+Bond17B!B14+Bond18!B14+Bond18A!B14+Bond19!B14+Bond19ref!B14+Bond20ref!B14+Bond20A!B14+Bond20B!D14+Bond21A!D14+Bond21B!B14+Bond22A!B14+Bond22B!B14</f>
        <v>5720000</v>
      </c>
      <c r="C9" s="19">
        <f>+Bond13A!G14+Bond12!C14+Bond13B!C14+Bond15!C14+Bond16B!C14+Bond16A!C14+Bond17A!G14+Bond17B!C14+Bond18!C14+Bond18A!C14+Bond19!C14+Bond19ref!C14+Bond20ref!C14+Bond20A!C14+Bond20B!G14+Bond21A!G14+Bond21B!C14+Bond22A!C14+Bond22B!C14</f>
        <v>3811748.2800000003</v>
      </c>
      <c r="D9" s="20">
        <f t="shared" ref="D9:D24" si="0">+B9+C9</f>
        <v>9531748.2800000012</v>
      </c>
      <c r="E9" s="18">
        <f>+'Bond10(gtua)'!B14</f>
        <v>243000</v>
      </c>
      <c r="F9" s="19">
        <f>+'Bond10(gtua)'!C14</f>
        <v>48049.24</v>
      </c>
      <c r="G9" s="31">
        <f t="shared" ref="G9:G26" si="1">+E9+F9</f>
        <v>291049.24</v>
      </c>
    </row>
    <row r="10" spans="1:10" x14ac:dyDescent="0.25">
      <c r="A10" s="17">
        <v>2024</v>
      </c>
      <c r="B10" s="18">
        <f>+Bond13A!D15+Bond12!B15+Bond13B!B15+Bond15!B15+Bond16B!B15+Bond16A!B15+Bond17A!D15+Bond17B!B15+Bond18!B15+Bond18A!B15+Bond19!B15+Bond19ref!B15+Bond20ref!B15+Bond20A!B15+Bond20B!D15+Bond21A!D15+Bond21B!B15+Bond22A!B15+Bond22B!B15</f>
        <v>6310000</v>
      </c>
      <c r="C10" s="19">
        <f>+Bond13A!G15+Bond12!C15+Bond13B!C15+Bond15!C15+Bond16B!C15+Bond16A!C15+Bond17A!G15+Bond17B!C15+Bond18!C15+Bond18A!C15+Bond19!C15+Bond19ref!C15+Bond20ref!C15+Bond20A!C15+Bond20B!G15+Bond21A!G15+Bond21B!C15+Bond22A!C15+Bond22B!C15</f>
        <v>3268753.75</v>
      </c>
      <c r="D10" s="20">
        <f t="shared" si="0"/>
        <v>9578753.75</v>
      </c>
      <c r="E10" s="18">
        <f>+'Bond10(gtua)'!B15</f>
        <v>249480</v>
      </c>
      <c r="F10" s="19">
        <f>+'Bond10(gtua)'!C15</f>
        <v>43240.26</v>
      </c>
      <c r="G10" s="31">
        <f t="shared" si="1"/>
        <v>292720.26</v>
      </c>
      <c r="H10" s="28"/>
      <c r="I10" s="21"/>
      <c r="J10" s="21"/>
    </row>
    <row r="11" spans="1:10" x14ac:dyDescent="0.25">
      <c r="A11" s="17">
        <v>2025</v>
      </c>
      <c r="B11" s="18">
        <f>+Bond13A!D16+Bond12!B16+Bond13B!B16+Bond15!B16+Bond16B!B16+Bond16A!B16+Bond17A!D16+Bond17B!B16+Bond18!B16+Bond18A!B16+Bond19!B16+Bond19ref!B16+Bond20ref!B16+Bond20A!B16+Bond20B!D16+Bond21A!D16+Bond21B!B16+Bond22A!B16+Bond22B!B16</f>
        <v>6835000</v>
      </c>
      <c r="C11" s="19">
        <f>+Bond13A!G16+Bond12!C16+Bond13B!C16+Bond15!C16+Bond16B!C16+Bond16A!C16+Bond17A!G16+Bond17B!C16+Bond18!C16+Bond18A!C16+Bond19!C16+Bond19ref!C16+Bond20ref!C16+Bond20A!C16+Bond20B!G16+Bond21A!G16+Bond21B!C16+Bond22A!C16+Bond22B!C16</f>
        <v>3060451</v>
      </c>
      <c r="D11" s="20">
        <f t="shared" si="0"/>
        <v>9895451</v>
      </c>
      <c r="E11" s="18">
        <f>+'Bond10(gtua)'!B16</f>
        <v>255960</v>
      </c>
      <c r="F11" s="19">
        <f>+'Bond10(gtua)'!C16</f>
        <v>38021.14</v>
      </c>
      <c r="G11" s="31">
        <f t="shared" si="1"/>
        <v>293981.14</v>
      </c>
      <c r="I11" s="21"/>
    </row>
    <row r="12" spans="1:10" x14ac:dyDescent="0.25">
      <c r="A12" s="17">
        <v>2026</v>
      </c>
      <c r="B12" s="18">
        <f>Bond12!B17+Bond13B!B17+Bond15!B17+Bond16B!B17+Bond16A!B17+Bond17A!D17+Bond17B!B17+Bond18!B17+Bond18A!B17+Bond19!B17+Bond19ref!B17+Bond20ref!B17+Bond20A!B17+Bond20B!D17+Bond21A!D17+Bond21B!B17+Bond22A!B17+Bond22B!B17</f>
        <v>6585000</v>
      </c>
      <c r="C12" s="19">
        <f>Bond12!C17+Bond13B!C17+Bond15!C17+Bond16B!C17+Bond16A!C17+Bond17A!G17+Bond17B!C17+Bond18!C17+Bond18A!C17+Bond19!C17+Bond19ref!C17+Bond20ref!C17+Bond20A!C17+Bond20B!G17+Bond21A!G17+Bond21B!C17+Bond22A!C17+Bond22B!C17</f>
        <v>2849975.75</v>
      </c>
      <c r="D12" s="20">
        <f t="shared" si="0"/>
        <v>9434975.75</v>
      </c>
      <c r="E12" s="18">
        <f>+'Bond10(gtua)'!B17</f>
        <v>262440</v>
      </c>
      <c r="F12" s="19">
        <f>+'Bond10(gtua)'!C17</f>
        <v>32410.5</v>
      </c>
      <c r="G12" s="31">
        <f t="shared" si="1"/>
        <v>294850.5</v>
      </c>
      <c r="H12" s="28"/>
      <c r="I12" s="21"/>
      <c r="J12" s="21"/>
    </row>
    <row r="13" spans="1:10" x14ac:dyDescent="0.25">
      <c r="A13" s="17">
        <v>2027</v>
      </c>
      <c r="B13" s="18">
        <f>Bond12!B18+Bond13B!B18+Bond15!B18+Bond16A!B18+Bond17A!D18+Bond17B!B18+Bond18!B18+Bond18A!B18+Bond19!B18+Bond19ref!B18+Bond20ref!B18+Bond20A!B18+Bond20B!D18+Bond21A!D18+Bond21B!B18+Bond22A!B18+Bond22B!B18</f>
        <v>5965000</v>
      </c>
      <c r="C13" s="19">
        <f>+Bond12!C18+Bond13B!C18+Bond15!C18+Bond16A!C18+Bond17A!G18+Bond17B!C18+Bond18!C18+Bond18A!C18+Bond19!C18+Bond19ref!C18+Bond20ref!C18+Bond20A!C18+Bond20B!G18+Bond21A!G18+Bond21B!C18+Bond22A!C18+Bond22B!C18</f>
        <v>2643137.5</v>
      </c>
      <c r="D13" s="20">
        <f t="shared" si="0"/>
        <v>8608137.5</v>
      </c>
      <c r="E13" s="18">
        <f>+'Bond10(gtua)'!B18</f>
        <v>268920</v>
      </c>
      <c r="F13" s="19">
        <f>+'Bond10(gtua)'!C18</f>
        <v>26424.240000000002</v>
      </c>
      <c r="G13" s="31">
        <f t="shared" si="1"/>
        <v>295344.24</v>
      </c>
      <c r="H13" s="28"/>
      <c r="I13" s="21"/>
      <c r="J13" s="21"/>
    </row>
    <row r="14" spans="1:10" x14ac:dyDescent="0.25">
      <c r="A14" s="17">
        <v>2028</v>
      </c>
      <c r="B14" s="18">
        <f>Bond13B!B19+Bond15!B19+Bond12!B19+Bond16A!B19+Bond17A!D19+Bond18!B19+Bond18A!B19+Bond19!B19+Bond19ref!B19+Bond20ref!B19+Bond20A!B19+Bond20B!D19+Bond21A!D19+Bond21B!B19+Bond22A!B19+Bond22B!B19</f>
        <v>5875000</v>
      </c>
      <c r="C14" s="19">
        <f>+Bond13B!C19+Bond15!C19+Bond12!C19+Bond16A!C19+Bond17A!G19+Bond18!C19+Bond18A!C19+Bond19!C19+Bond19ref!C19+Bond20ref!C19+Bond20A!C19+Bond20B!G19+Bond21A!G19+Bond21B!C19+Bond22A!C19+Bond22B!C19</f>
        <v>2426287.75</v>
      </c>
      <c r="D14" s="20">
        <f t="shared" si="0"/>
        <v>8301287.75</v>
      </c>
      <c r="E14" s="18">
        <f>+'Bond10(gtua)'!B19</f>
        <v>275400</v>
      </c>
      <c r="F14" s="19">
        <f>+'Bond10(gtua)'!C19</f>
        <v>20069.66</v>
      </c>
      <c r="G14" s="31">
        <f t="shared" si="1"/>
        <v>295469.65999999997</v>
      </c>
      <c r="H14" s="28"/>
    </row>
    <row r="15" spans="1:10" x14ac:dyDescent="0.25">
      <c r="A15" s="17">
        <v>2029</v>
      </c>
      <c r="B15" s="18">
        <f>+Bond13B!B20+Bond15!B20+Bond16A!B20+Bond17A!D20+Bond18!B20+Bond19!B20+Bond20ref!B20+Bond20A!B20+Bond20B!D20+Bond21A!D20+Bond21B!B20+Bond22A!B20+Bond22B!B20</f>
        <v>5195000</v>
      </c>
      <c r="C15" s="19">
        <f>+Bond13B!C20+Bond15!C20+Bond16A!C20+Bond17A!G20+Bond18!C20+Bond19!C20+Bond20ref!C20+Bond20A!C20+Bond20B!G20+Bond21A!G20+Bond21B!C20+Bond22A!C20+Bond22B!C20</f>
        <v>2196562.5</v>
      </c>
      <c r="D15" s="20">
        <f t="shared" si="0"/>
        <v>7391562.5</v>
      </c>
      <c r="E15" s="18">
        <f>+'Bond10(gtua)'!B20</f>
        <v>281880</v>
      </c>
      <c r="F15" s="19">
        <f>+'Bond10(gtua)'!C20</f>
        <v>13358.16</v>
      </c>
      <c r="G15" s="31">
        <f t="shared" si="1"/>
        <v>295238.15999999997</v>
      </c>
      <c r="H15" s="28"/>
      <c r="I15" s="21"/>
      <c r="J15" s="21"/>
    </row>
    <row r="16" spans="1:10" x14ac:dyDescent="0.25">
      <c r="A16" s="17">
        <v>2030</v>
      </c>
      <c r="B16" s="18">
        <f>+Bond13B!B21+Bond15!B21+Bond16A!B21+Bond17A!D21+Bond18!B21+Bond19!B21+Bond20A!B21+Bond20B!D21+Bond21A!D21+Bond21B!B21+Bond22A!B21+Bond22B!B21</f>
        <v>4900000</v>
      </c>
      <c r="C16" s="19">
        <f>+Bond13B!C21+Bond15!C21+Bond16A!C21+Bond17A!G21+Bond18!C21+Bond19!C21+Bond20A!C21+Bond20B!G21+Bond21A!G21+Bond21B!C21+Bond22A!C21+Bond22B!C21</f>
        <v>2002626.5</v>
      </c>
      <c r="D16" s="20">
        <f t="shared" si="0"/>
        <v>6902626.5</v>
      </c>
      <c r="E16" s="18">
        <f>+'Bond10(gtua)'!B21</f>
        <v>255960</v>
      </c>
      <c r="F16" s="19">
        <f>+'Bond10(gtua)'!C21</f>
        <v>6347.8</v>
      </c>
      <c r="G16" s="31">
        <f t="shared" si="1"/>
        <v>262307.8</v>
      </c>
      <c r="H16" s="28"/>
      <c r="I16" s="21"/>
      <c r="J16" s="21"/>
    </row>
    <row r="17" spans="1:10" x14ac:dyDescent="0.25">
      <c r="A17" s="17">
        <v>2031</v>
      </c>
      <c r="B17" s="18">
        <f>+Bond13B!B22+Bond15!B22+Bond16A!B22+Bond17A!D22+Bond18!B22+Bond19!B22+Bond20B!D22+Bond21A!D22+Bond21B!B22+Bond22A!B22+Bond22B!B22</f>
        <v>4830000</v>
      </c>
      <c r="C17" s="19">
        <f>+Bond13B!C22+Bond15!C22+Bond16A!C22+Bond17A!G22+Bond18!C22+Bond19!C22+Bond20B!G22+Bond21A!G22+Bond21B!C22+Bond22A!C22+Bond22B!C22</f>
        <v>1809757.5</v>
      </c>
      <c r="D17" s="20">
        <f t="shared" si="0"/>
        <v>6639757.5</v>
      </c>
      <c r="E17" s="18">
        <v>0</v>
      </c>
      <c r="F17" s="19">
        <v>0</v>
      </c>
      <c r="G17" s="31">
        <f t="shared" si="1"/>
        <v>0</v>
      </c>
      <c r="H17" s="28"/>
      <c r="I17" s="21"/>
      <c r="J17" s="21"/>
    </row>
    <row r="18" spans="1:10" x14ac:dyDescent="0.25">
      <c r="A18" s="17">
        <v>2032</v>
      </c>
      <c r="B18" s="18">
        <f>+Bond13B!B23+Bond15!B23+Bond16A!B23+Bond17A!D23+Bond18!B23+Bond19!B23+Bond20B!D23+Bond21A!D23+Bond21B!B23+Bond22A!B23+Bond22B!B23</f>
        <v>5030000</v>
      </c>
      <c r="C18" s="19">
        <f>+Bond13B!C23+Bond15!C23+Bond16A!C23+Bond17A!G23+Bond18!C23+Bond19!C23+Bond20B!G23+Bond21A!G23+Bond21B!C23+Bond22A!C23+Bond22B!C23</f>
        <v>1613565</v>
      </c>
      <c r="D18" s="20">
        <f t="shared" si="0"/>
        <v>6643565</v>
      </c>
      <c r="E18" s="18">
        <v>0</v>
      </c>
      <c r="F18" s="19">
        <v>0</v>
      </c>
      <c r="G18" s="31">
        <f t="shared" si="1"/>
        <v>0</v>
      </c>
      <c r="H18" s="28"/>
      <c r="I18" s="21"/>
      <c r="J18" s="21"/>
    </row>
    <row r="19" spans="1:10" x14ac:dyDescent="0.25">
      <c r="A19" s="17">
        <v>2033</v>
      </c>
      <c r="B19" s="18">
        <f>+Bond13B!B24+Bond15!B24+Bond16A!B24+Bond17A!D24+Bond18!B24+Bond19!B24+Bond20B!D24+Bond21A!D24+Bond21B!B24+Bond22A!B24+Bond22B!B24</f>
        <v>5220000</v>
      </c>
      <c r="C19" s="19">
        <f>+Bond13B!C24+Bond15!C24+Bond16A!C24+Bond17A!G24+Bond18!C24+Bond19!C24+Bond20B!G24+Bond21A!G24+Bond21B!C24+Bond22A!C24+Bond22B!C24</f>
        <v>1425738.5</v>
      </c>
      <c r="D19" s="20">
        <f t="shared" si="0"/>
        <v>6645738.5</v>
      </c>
      <c r="E19" s="18">
        <v>0</v>
      </c>
      <c r="F19" s="19">
        <v>0</v>
      </c>
      <c r="G19" s="31">
        <f t="shared" si="1"/>
        <v>0</v>
      </c>
      <c r="H19" s="28"/>
      <c r="I19" s="21"/>
      <c r="J19" s="21"/>
    </row>
    <row r="20" spans="1:10" x14ac:dyDescent="0.25">
      <c r="A20" s="17">
        <v>2034</v>
      </c>
      <c r="B20" s="18">
        <f>Bond15!B25+Bond16A!B25+Bond17A!D25+Bond18!B25+Bond19!B25+Bond20B!D25+Bond21A!D25+Bond21B!B25+Bond22A!B25+Bond22B!B25</f>
        <v>5235000</v>
      </c>
      <c r="C20" s="19">
        <f>+Bond15!C25+Bond16A!C25+Bond17A!G25+Bond18!C25+Bond19!C25+Bond20B!G25+Bond21A!G25+Bond21B!C25+Bond22A!C25+Bond22B!C25</f>
        <v>1249127.75</v>
      </c>
      <c r="D20" s="20">
        <f t="shared" si="0"/>
        <v>6484127.75</v>
      </c>
      <c r="E20" s="18">
        <v>0</v>
      </c>
      <c r="F20" s="19">
        <v>0</v>
      </c>
      <c r="G20" s="31">
        <f t="shared" si="1"/>
        <v>0</v>
      </c>
      <c r="H20" s="28"/>
      <c r="I20" s="21"/>
      <c r="J20" s="21"/>
    </row>
    <row r="21" spans="1:10" x14ac:dyDescent="0.25">
      <c r="A21" s="17">
        <v>2035</v>
      </c>
      <c r="B21" s="18">
        <f>Bond15!B26+Bond16A!B26+Bond17A!D26+Bond18!B26+Bond19!B26+Bond20B!D26+Bond21A!D26+Bond21B!B26+Bond22A!B26+Bond22B!B26</f>
        <v>5425000</v>
      </c>
      <c r="C21" s="19">
        <f>+Bond15!C26+Bond16A!C26+Bond17A!G26+Bond18!C26+Bond19!C26+Bond20B!G26+Bond21A!G26+Bond21B!C26+Bond22A!C26+Bond22B!C26</f>
        <v>1069188.25</v>
      </c>
      <c r="D21" s="20">
        <f t="shared" si="0"/>
        <v>6494188.25</v>
      </c>
      <c r="E21" s="18">
        <v>0</v>
      </c>
      <c r="F21" s="19">
        <v>0</v>
      </c>
      <c r="G21" s="31">
        <f t="shared" si="1"/>
        <v>0</v>
      </c>
      <c r="H21" s="28"/>
      <c r="I21" s="21"/>
      <c r="J21" s="21"/>
    </row>
    <row r="22" spans="1:10" x14ac:dyDescent="0.25">
      <c r="A22" s="17">
        <v>2036</v>
      </c>
      <c r="B22" s="18">
        <f>Bond16A!B27+Bond17A!D27+Bond18!B27+Bond19!B27+Bond20B!D27+Bond21A!D27+Bond21B!B27+Bond22A!B27+Bond22B!B27</f>
        <v>5150000</v>
      </c>
      <c r="C22" s="19">
        <f>Bond16A!C27+Bond17A!G27+Bond18!C27+Bond19!C27+Bond20B!G27+Bond21A!G27+Bond21B!C27+Bond22A!C27+Bond22B!C27</f>
        <v>893182.5</v>
      </c>
      <c r="D22" s="20">
        <f t="shared" si="0"/>
        <v>6043182.5</v>
      </c>
      <c r="E22" s="18">
        <v>0</v>
      </c>
      <c r="F22" s="19">
        <v>0</v>
      </c>
      <c r="G22" s="31">
        <f t="shared" si="1"/>
        <v>0</v>
      </c>
      <c r="H22" s="28"/>
      <c r="I22" s="21"/>
      <c r="J22" s="21"/>
    </row>
    <row r="23" spans="1:10" x14ac:dyDescent="0.25">
      <c r="A23" s="17">
        <v>2037</v>
      </c>
      <c r="B23" s="18">
        <f>+Bond17A!D28+Bond18!B28+Bond19!B28+Bond20B!D28+Bond21A!D28+Bond21B!B28+Bond22A!B28+Bond22B!B28</f>
        <v>5185000</v>
      </c>
      <c r="C23" s="19">
        <f>+Bond17A!G28+Bond18!C28+Bond19!C28+Bond20B!G28+Bond21A!G28+Bond21B!C28+Bond22A!C28+Bond22B!C28</f>
        <v>727051.5</v>
      </c>
      <c r="D23" s="20">
        <f t="shared" si="0"/>
        <v>5912051.5</v>
      </c>
      <c r="E23" s="18">
        <v>0</v>
      </c>
      <c r="F23" s="19">
        <v>0</v>
      </c>
      <c r="G23" s="31">
        <f t="shared" si="1"/>
        <v>0</v>
      </c>
      <c r="H23" s="28"/>
      <c r="I23" s="21"/>
      <c r="J23" s="21"/>
    </row>
    <row r="24" spans="1:10" x14ac:dyDescent="0.25">
      <c r="A24" s="17">
        <v>2038</v>
      </c>
      <c r="B24" s="18">
        <f>+Bond18!B29+Bond19!B29+Bond20B!D29+Bond21A!D29+Bond21B!B29+Bond22A!B29+Bond22B!B29</f>
        <v>4895000</v>
      </c>
      <c r="C24" s="19">
        <f>+Bond18!C29+Bond19!C29+Bond20B!G29+Bond21A!G29+Bond21B!C29+Bond22A!C29+Bond22B!C29</f>
        <v>566972</v>
      </c>
      <c r="D24" s="20">
        <f t="shared" si="0"/>
        <v>5461972</v>
      </c>
      <c r="E24" s="18">
        <v>0</v>
      </c>
      <c r="F24" s="19">
        <v>0</v>
      </c>
      <c r="G24" s="31">
        <f t="shared" si="1"/>
        <v>0</v>
      </c>
      <c r="H24" s="28"/>
      <c r="I24" s="21"/>
      <c r="J24" s="21"/>
    </row>
    <row r="25" spans="1:10" x14ac:dyDescent="0.25">
      <c r="A25" s="17">
        <v>2039</v>
      </c>
      <c r="B25" s="18">
        <f>+Bond19!B30+Bond20B!D30+Bond21A!D30+Bond21B!B30+Bond22A!B30+Bond22B!B30</f>
        <v>4545000</v>
      </c>
      <c r="C25" s="19">
        <f>+Bond19!C30+Bond20B!G30+Bond21A!G30+Bond21B!C30+Bond22A!C30+Bond22B!C30</f>
        <v>415835.25</v>
      </c>
      <c r="D25" s="20">
        <f>+B25+C25</f>
        <v>4960835.25</v>
      </c>
      <c r="E25" s="18">
        <v>0</v>
      </c>
      <c r="F25" s="19">
        <v>0</v>
      </c>
      <c r="G25" s="31">
        <f t="shared" si="1"/>
        <v>0</v>
      </c>
      <c r="H25" s="28"/>
      <c r="I25" s="21"/>
      <c r="J25" s="21"/>
    </row>
    <row r="26" spans="1:10" x14ac:dyDescent="0.25">
      <c r="A26" s="17">
        <v>2040</v>
      </c>
      <c r="B26" s="18">
        <f>+Bond20B!D31+Bond21A!D31+Bond21B!B31+Bond22A!B31+Bond22B!B31</f>
        <v>4315000</v>
      </c>
      <c r="C26" s="19">
        <f>+Bond20B!G31+Bond21A!G31+Bond21B!C31+Bond22A!C31+Bond22B!C31</f>
        <v>273259.5</v>
      </c>
      <c r="D26" s="20">
        <f>+B26+C26</f>
        <v>4588259.5</v>
      </c>
      <c r="E26" s="18">
        <v>0</v>
      </c>
      <c r="F26" s="19">
        <v>0</v>
      </c>
      <c r="G26" s="31">
        <f t="shared" si="1"/>
        <v>0</v>
      </c>
      <c r="H26" s="28"/>
      <c r="I26" s="21"/>
      <c r="J26" s="21"/>
    </row>
    <row r="27" spans="1:10" x14ac:dyDescent="0.25">
      <c r="A27" s="17">
        <v>2041</v>
      </c>
      <c r="B27" s="18">
        <f>+Bond21A!D32+Bond21B!B32+Bond22A!B32+Bond22B!B32</f>
        <v>3720000</v>
      </c>
      <c r="C27" s="19">
        <f>+Bond21A!G32+Bond21B!C32+Bond22A!C32+Bond22B!C32</f>
        <v>142611</v>
      </c>
      <c r="D27" s="20">
        <f>+B27+C27</f>
        <v>3862611</v>
      </c>
      <c r="E27" s="18">
        <v>0</v>
      </c>
      <c r="F27" s="19">
        <v>0</v>
      </c>
      <c r="G27" s="31">
        <f t="shared" ref="G27:G28" si="2">+E27+F27</f>
        <v>0</v>
      </c>
      <c r="H27" s="28"/>
      <c r="I27" s="21"/>
      <c r="J27" s="21"/>
    </row>
    <row r="28" spans="1:10" x14ac:dyDescent="0.25">
      <c r="A28" s="17">
        <v>2042</v>
      </c>
      <c r="B28" s="18">
        <f>+Bond22A!B33+Bond22B!B33</f>
        <v>1965000</v>
      </c>
      <c r="C28" s="19">
        <f>+Bond22A!C33+Bond22B!C33</f>
        <v>40783.5</v>
      </c>
      <c r="D28" s="20">
        <f>+B28+C28</f>
        <v>2005783.5</v>
      </c>
      <c r="E28" s="18">
        <v>0</v>
      </c>
      <c r="F28" s="19">
        <v>0</v>
      </c>
      <c r="G28" s="31">
        <f t="shared" si="2"/>
        <v>0</v>
      </c>
      <c r="H28" s="28"/>
      <c r="I28" s="21"/>
      <c r="J28" s="21"/>
    </row>
    <row r="29" spans="1:10" x14ac:dyDescent="0.25">
      <c r="A29" s="22" t="s">
        <v>4</v>
      </c>
      <c r="B29" s="23">
        <f t="shared" ref="B29:G29" si="3">SUM(B9:B28)</f>
        <v>102900000</v>
      </c>
      <c r="C29" s="24">
        <f t="shared" si="3"/>
        <v>32486615.280000001</v>
      </c>
      <c r="D29" s="25">
        <f t="shared" si="3"/>
        <v>135386615.28</v>
      </c>
      <c r="E29" s="23">
        <f t="shared" si="3"/>
        <v>2093040</v>
      </c>
      <c r="F29" s="24">
        <f t="shared" si="3"/>
        <v>227921</v>
      </c>
      <c r="G29" s="25">
        <f t="shared" si="3"/>
        <v>2320961</v>
      </c>
    </row>
    <row r="30" spans="1:10" x14ac:dyDescent="0.25">
      <c r="A30" s="26"/>
      <c r="B30" s="27"/>
      <c r="C30" s="27"/>
      <c r="D30" s="27"/>
      <c r="E30" s="27"/>
      <c r="F30" s="27"/>
      <c r="G30" s="27"/>
    </row>
    <row r="31" spans="1:10" x14ac:dyDescent="0.25">
      <c r="A31" s="28"/>
      <c r="B31" s="28"/>
      <c r="C31" s="28"/>
      <c r="D31" s="28"/>
      <c r="E31" s="21"/>
      <c r="F31" s="21"/>
      <c r="G31" s="40"/>
    </row>
    <row r="32" spans="1:10" x14ac:dyDescent="0.25">
      <c r="C32" s="29"/>
      <c r="D32" s="76" t="s">
        <v>38</v>
      </c>
      <c r="E32" s="76"/>
      <c r="F32" s="77"/>
      <c r="G32" s="21"/>
    </row>
    <row r="33" spans="3:8" x14ac:dyDescent="0.25">
      <c r="C33" s="11" t="s">
        <v>35</v>
      </c>
      <c r="D33" s="10" t="s">
        <v>2</v>
      </c>
      <c r="E33" s="10" t="s">
        <v>3</v>
      </c>
      <c r="F33" s="13" t="s">
        <v>36</v>
      </c>
    </row>
    <row r="34" spans="3:8" ht="12.75" customHeight="1" x14ac:dyDescent="0.25">
      <c r="C34" s="14"/>
      <c r="F34" s="16"/>
    </row>
    <row r="35" spans="3:8" x14ac:dyDescent="0.25">
      <c r="C35" s="17">
        <v>2023</v>
      </c>
      <c r="D35" s="30">
        <f t="shared" ref="D35:D54" si="4">+B9+E9</f>
        <v>5963000</v>
      </c>
      <c r="E35" s="30">
        <f t="shared" ref="E35:E54" si="5">+C9+F9</f>
        <v>3859797.5200000005</v>
      </c>
      <c r="F35" s="31">
        <f t="shared" ref="F35:F40" si="6">+D35+E35</f>
        <v>9822797.5199999996</v>
      </c>
      <c r="G35" s="30"/>
      <c r="H35" s="30"/>
    </row>
    <row r="36" spans="3:8" x14ac:dyDescent="0.25">
      <c r="C36" s="17">
        <v>2024</v>
      </c>
      <c r="D36" s="30">
        <f t="shared" si="4"/>
        <v>6559480</v>
      </c>
      <c r="E36" s="30">
        <f t="shared" si="5"/>
        <v>3311994.01</v>
      </c>
      <c r="F36" s="31">
        <f t="shared" si="6"/>
        <v>9871474.0099999998</v>
      </c>
      <c r="G36" s="30"/>
      <c r="H36" s="30"/>
    </row>
    <row r="37" spans="3:8" x14ac:dyDescent="0.25">
      <c r="C37" s="17">
        <v>2025</v>
      </c>
      <c r="D37" s="30">
        <f t="shared" si="4"/>
        <v>7090960</v>
      </c>
      <c r="E37" s="30">
        <f t="shared" si="5"/>
        <v>3098472.14</v>
      </c>
      <c r="F37" s="31">
        <f t="shared" si="6"/>
        <v>10189432.140000001</v>
      </c>
      <c r="G37" s="30"/>
      <c r="H37" s="30"/>
    </row>
    <row r="38" spans="3:8" x14ac:dyDescent="0.25">
      <c r="C38" s="17">
        <v>2026</v>
      </c>
      <c r="D38" s="30">
        <f t="shared" si="4"/>
        <v>6847440</v>
      </c>
      <c r="E38" s="30">
        <f t="shared" si="5"/>
        <v>2882386.25</v>
      </c>
      <c r="F38" s="31">
        <f t="shared" si="6"/>
        <v>9729826.25</v>
      </c>
      <c r="G38" s="30"/>
      <c r="H38" s="30"/>
    </row>
    <row r="39" spans="3:8" x14ac:dyDescent="0.25">
      <c r="C39" s="17">
        <v>2027</v>
      </c>
      <c r="D39" s="30">
        <f t="shared" si="4"/>
        <v>6233920</v>
      </c>
      <c r="E39" s="30">
        <f t="shared" si="5"/>
        <v>2669561.7400000002</v>
      </c>
      <c r="F39" s="31">
        <f t="shared" si="6"/>
        <v>8903481.7400000002</v>
      </c>
      <c r="G39" s="30"/>
      <c r="H39" s="30"/>
    </row>
    <row r="40" spans="3:8" x14ac:dyDescent="0.25">
      <c r="C40" s="17">
        <v>2028</v>
      </c>
      <c r="D40" s="30">
        <f t="shared" si="4"/>
        <v>6150400</v>
      </c>
      <c r="E40" s="30">
        <f t="shared" si="5"/>
        <v>2446357.41</v>
      </c>
      <c r="F40" s="31">
        <f t="shared" si="6"/>
        <v>8596757.4100000001</v>
      </c>
      <c r="G40" s="30"/>
      <c r="H40" s="30"/>
    </row>
    <row r="41" spans="3:8" x14ac:dyDescent="0.25">
      <c r="C41" s="17">
        <v>2029</v>
      </c>
      <c r="D41" s="30">
        <f t="shared" si="4"/>
        <v>5476880</v>
      </c>
      <c r="E41" s="30">
        <f t="shared" si="5"/>
        <v>2209920.66</v>
      </c>
      <c r="F41" s="31">
        <f>+D41+E41</f>
        <v>7686800.6600000001</v>
      </c>
      <c r="G41" s="30"/>
      <c r="H41" s="30"/>
    </row>
    <row r="42" spans="3:8" x14ac:dyDescent="0.25">
      <c r="C42" s="17">
        <v>2030</v>
      </c>
      <c r="D42" s="30">
        <f t="shared" si="4"/>
        <v>5155960</v>
      </c>
      <c r="E42" s="30">
        <f t="shared" si="5"/>
        <v>2008974.3</v>
      </c>
      <c r="F42" s="31">
        <f>+D42+E42</f>
        <v>7164934.2999999998</v>
      </c>
      <c r="G42" s="30"/>
      <c r="H42" s="30"/>
    </row>
    <row r="43" spans="3:8" x14ac:dyDescent="0.25">
      <c r="C43" s="17">
        <v>2031</v>
      </c>
      <c r="D43" s="30">
        <f t="shared" si="4"/>
        <v>4830000</v>
      </c>
      <c r="E43" s="30">
        <f t="shared" si="5"/>
        <v>1809757.5</v>
      </c>
      <c r="F43" s="31">
        <f t="shared" ref="F43:F48" si="7">+D43+E43</f>
        <v>6639757.5</v>
      </c>
      <c r="G43" s="30"/>
      <c r="H43" s="30"/>
    </row>
    <row r="44" spans="3:8" x14ac:dyDescent="0.25">
      <c r="C44" s="17">
        <v>2032</v>
      </c>
      <c r="D44" s="30">
        <f t="shared" si="4"/>
        <v>5030000</v>
      </c>
      <c r="E44" s="30">
        <f t="shared" si="5"/>
        <v>1613565</v>
      </c>
      <c r="F44" s="31">
        <f t="shared" si="7"/>
        <v>6643565</v>
      </c>
      <c r="G44" s="30"/>
      <c r="H44" s="30"/>
    </row>
    <row r="45" spans="3:8" x14ac:dyDescent="0.25">
      <c r="C45" s="17">
        <v>2033</v>
      </c>
      <c r="D45" s="30">
        <f t="shared" si="4"/>
        <v>5220000</v>
      </c>
      <c r="E45" s="30">
        <f t="shared" si="5"/>
        <v>1425738.5</v>
      </c>
      <c r="F45" s="31">
        <f t="shared" si="7"/>
        <v>6645738.5</v>
      </c>
      <c r="G45" s="30"/>
      <c r="H45" s="30"/>
    </row>
    <row r="46" spans="3:8" x14ac:dyDescent="0.25">
      <c r="C46" s="17">
        <v>2034</v>
      </c>
      <c r="D46" s="30">
        <f t="shared" si="4"/>
        <v>5235000</v>
      </c>
      <c r="E46" s="30">
        <f t="shared" si="5"/>
        <v>1249127.75</v>
      </c>
      <c r="F46" s="31">
        <f t="shared" si="7"/>
        <v>6484127.75</v>
      </c>
      <c r="G46" s="30"/>
      <c r="H46" s="30"/>
    </row>
    <row r="47" spans="3:8" x14ac:dyDescent="0.25">
      <c r="C47" s="17">
        <v>2035</v>
      </c>
      <c r="D47" s="30">
        <f t="shared" si="4"/>
        <v>5425000</v>
      </c>
      <c r="E47" s="30">
        <f t="shared" si="5"/>
        <v>1069188.25</v>
      </c>
      <c r="F47" s="31">
        <f t="shared" si="7"/>
        <v>6494188.25</v>
      </c>
      <c r="G47" s="30"/>
      <c r="H47" s="30"/>
    </row>
    <row r="48" spans="3:8" x14ac:dyDescent="0.25">
      <c r="C48" s="17">
        <v>2036</v>
      </c>
      <c r="D48" s="30">
        <f t="shared" si="4"/>
        <v>5150000</v>
      </c>
      <c r="E48" s="30">
        <f t="shared" si="5"/>
        <v>893182.5</v>
      </c>
      <c r="F48" s="31">
        <f t="shared" si="7"/>
        <v>6043182.5</v>
      </c>
      <c r="G48" s="30"/>
      <c r="H48" s="30"/>
    </row>
    <row r="49" spans="3:8" x14ac:dyDescent="0.25">
      <c r="C49" s="17">
        <v>2037</v>
      </c>
      <c r="D49" s="30">
        <f t="shared" si="4"/>
        <v>5185000</v>
      </c>
      <c r="E49" s="30">
        <f t="shared" si="5"/>
        <v>727051.5</v>
      </c>
      <c r="F49" s="31">
        <f t="shared" ref="F49" si="8">+D49+E49</f>
        <v>5912051.5</v>
      </c>
      <c r="G49" s="30"/>
      <c r="H49" s="30"/>
    </row>
    <row r="50" spans="3:8" x14ac:dyDescent="0.25">
      <c r="C50" s="17">
        <v>2038</v>
      </c>
      <c r="D50" s="30">
        <f t="shared" si="4"/>
        <v>4895000</v>
      </c>
      <c r="E50" s="30">
        <f t="shared" si="5"/>
        <v>566972</v>
      </c>
      <c r="F50" s="30">
        <f t="shared" ref="F50" si="9">+D50+E50</f>
        <v>5461972</v>
      </c>
      <c r="G50" s="33"/>
      <c r="H50" s="30"/>
    </row>
    <row r="51" spans="3:8" x14ac:dyDescent="0.25">
      <c r="C51" s="17">
        <v>2039</v>
      </c>
      <c r="D51" s="30">
        <f t="shared" si="4"/>
        <v>4545000</v>
      </c>
      <c r="E51" s="30">
        <f t="shared" si="5"/>
        <v>415835.25</v>
      </c>
      <c r="F51" s="30">
        <f t="shared" ref="F51" si="10">+D51+E51</f>
        <v>4960835.25</v>
      </c>
      <c r="G51" s="33"/>
      <c r="H51" s="30"/>
    </row>
    <row r="52" spans="3:8" x14ac:dyDescent="0.25">
      <c r="C52" s="17">
        <v>2040</v>
      </c>
      <c r="D52" s="30">
        <f t="shared" si="4"/>
        <v>4315000</v>
      </c>
      <c r="E52" s="30">
        <f t="shared" si="5"/>
        <v>273259.5</v>
      </c>
      <c r="F52" s="30">
        <f t="shared" ref="F52:F53" si="11">+D52+E52</f>
        <v>4588259.5</v>
      </c>
      <c r="G52" s="33"/>
      <c r="H52" s="30"/>
    </row>
    <row r="53" spans="3:8" x14ac:dyDescent="0.25">
      <c r="C53" s="17">
        <v>2041</v>
      </c>
      <c r="D53" s="30">
        <f t="shared" si="4"/>
        <v>3720000</v>
      </c>
      <c r="E53" s="30">
        <f t="shared" si="5"/>
        <v>142611</v>
      </c>
      <c r="F53" s="30">
        <f t="shared" si="11"/>
        <v>3862611</v>
      </c>
      <c r="G53" s="33"/>
      <c r="H53" s="30"/>
    </row>
    <row r="54" spans="3:8" x14ac:dyDescent="0.25">
      <c r="C54" s="17">
        <v>2042</v>
      </c>
      <c r="D54" s="30">
        <f t="shared" si="4"/>
        <v>1965000</v>
      </c>
      <c r="E54" s="30">
        <f t="shared" si="5"/>
        <v>40783.5</v>
      </c>
      <c r="F54" s="30">
        <f t="shared" ref="F54" si="12">+D54+E54</f>
        <v>2005783.5</v>
      </c>
      <c r="G54" s="33"/>
      <c r="H54" s="30"/>
    </row>
    <row r="55" spans="3:8" x14ac:dyDescent="0.25">
      <c r="C55" s="22" t="s">
        <v>4</v>
      </c>
      <c r="D55" s="23">
        <f>SUM(D35:D54)</f>
        <v>104993040</v>
      </c>
      <c r="E55" s="24">
        <f>SUM(E35:E54)</f>
        <v>32714536.280000001</v>
      </c>
      <c r="F55" s="25">
        <f>SUM(F35:F54)</f>
        <v>137707576.28</v>
      </c>
      <c r="G55" s="43"/>
    </row>
    <row r="57" spans="3:8" x14ac:dyDescent="0.25">
      <c r="D57" s="32"/>
      <c r="E57" s="30"/>
      <c r="F57" s="30"/>
    </row>
    <row r="58" spans="3:8" x14ac:dyDescent="0.25">
      <c r="D58" s="32"/>
      <c r="E58" s="32"/>
      <c r="F58" s="32"/>
    </row>
    <row r="59" spans="3:8" x14ac:dyDescent="0.25">
      <c r="D59" s="32"/>
      <c r="E59" s="32"/>
      <c r="F59" s="32"/>
    </row>
  </sheetData>
  <mergeCells count="6">
    <mergeCell ref="D32:F32"/>
    <mergeCell ref="A1:G1"/>
    <mergeCell ref="A2:G2"/>
    <mergeCell ref="A3:G3"/>
    <mergeCell ref="B6:D6"/>
    <mergeCell ref="E6:G6"/>
  </mergeCells>
  <pageMargins left="0.5" right="0.5" top="0.75" bottom="0.75" header="0.5" footer="0.5"/>
  <pageSetup scale="95" firstPageNumber="0"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D47"/>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17</v>
      </c>
      <c r="B4" s="70"/>
      <c r="C4" s="70"/>
      <c r="D4" s="70"/>
    </row>
    <row r="5" spans="1:4" ht="15" customHeight="1" x14ac:dyDescent="0.3">
      <c r="A5" s="70" t="s">
        <v>18</v>
      </c>
      <c r="B5" s="70"/>
      <c r="C5" s="70"/>
      <c r="D5" s="70"/>
    </row>
    <row r="6" spans="1:4" ht="15" customHeight="1" x14ac:dyDescent="0.25">
      <c r="A6" s="73" t="s">
        <v>19</v>
      </c>
      <c r="B6" s="73"/>
      <c r="C6" s="73"/>
      <c r="D6" s="73"/>
    </row>
    <row r="7" spans="1:4" ht="15" customHeight="1" x14ac:dyDescent="0.25">
      <c r="A7" s="73"/>
      <c r="B7" s="73"/>
      <c r="C7" s="73"/>
      <c r="D7" s="73"/>
    </row>
    <row r="8" spans="1:4" ht="15" customHeight="1" x14ac:dyDescent="0.25">
      <c r="A8" s="73"/>
      <c r="B8" s="73"/>
      <c r="C8" s="73"/>
      <c r="D8" s="73"/>
    </row>
    <row r="9" spans="1:4" ht="15" customHeight="1" x14ac:dyDescent="0.25">
      <c r="A9" s="72" t="s">
        <v>125</v>
      </c>
      <c r="B9" s="72"/>
      <c r="C9" s="72"/>
      <c r="D9" s="72"/>
    </row>
    <row r="10" spans="1:4" ht="9" customHeight="1" x14ac:dyDescent="0.3">
      <c r="A10" s="2"/>
      <c r="B10" s="2"/>
      <c r="C10" s="2"/>
      <c r="D10" s="2"/>
    </row>
    <row r="11" spans="1:4" ht="9" customHeight="1" x14ac:dyDescent="0.25">
      <c r="A11" s="68"/>
      <c r="B11" s="68"/>
      <c r="C11" s="68"/>
      <c r="D11" s="68"/>
    </row>
    <row r="12" spans="1:4" x14ac:dyDescent="0.25">
      <c r="A12" s="3" t="s">
        <v>47</v>
      </c>
      <c r="B12" s="39" t="s">
        <v>48</v>
      </c>
      <c r="C12" s="39" t="s">
        <v>49</v>
      </c>
      <c r="D12" s="39" t="s">
        <v>50</v>
      </c>
    </row>
    <row r="13" spans="1:4" ht="5.25" customHeight="1" x14ac:dyDescent="0.25"/>
    <row r="14" spans="1:4" s="5" customFormat="1" ht="11.4" x14ac:dyDescent="0.2">
      <c r="A14" s="4" t="s">
        <v>6</v>
      </c>
      <c r="B14" s="38">
        <v>415000</v>
      </c>
      <c r="C14" s="34">
        <v>110400</v>
      </c>
      <c r="D14" s="34">
        <f t="shared" ref="D14:D19" si="0">+B14+C14</f>
        <v>525400</v>
      </c>
    </row>
    <row r="15" spans="1:4" s="5" customFormat="1" ht="11.4" x14ac:dyDescent="0.2">
      <c r="A15" s="4" t="s">
        <v>7</v>
      </c>
      <c r="B15" s="38">
        <v>435000</v>
      </c>
      <c r="C15" s="34">
        <v>93800</v>
      </c>
      <c r="D15" s="34">
        <f t="shared" si="0"/>
        <v>528800</v>
      </c>
    </row>
    <row r="16" spans="1:4" s="5" customFormat="1" ht="11.4" x14ac:dyDescent="0.2">
      <c r="A16" s="4" t="s">
        <v>8</v>
      </c>
      <c r="B16" s="38">
        <v>450000</v>
      </c>
      <c r="C16" s="34">
        <v>76400</v>
      </c>
      <c r="D16" s="34">
        <f t="shared" si="0"/>
        <v>526400</v>
      </c>
    </row>
    <row r="17" spans="1:4" s="5" customFormat="1" ht="11.4" x14ac:dyDescent="0.2">
      <c r="A17" s="4" t="s">
        <v>9</v>
      </c>
      <c r="B17" s="38">
        <v>470000</v>
      </c>
      <c r="C17" s="34">
        <v>58400</v>
      </c>
      <c r="D17" s="34">
        <f t="shared" si="0"/>
        <v>528400</v>
      </c>
    </row>
    <row r="18" spans="1:4" s="5" customFormat="1" ht="11.4" x14ac:dyDescent="0.2">
      <c r="A18" s="4" t="s">
        <v>10</v>
      </c>
      <c r="B18" s="38">
        <v>485000</v>
      </c>
      <c r="C18" s="34">
        <v>39600</v>
      </c>
      <c r="D18" s="34">
        <f t="shared" si="0"/>
        <v>524600</v>
      </c>
    </row>
    <row r="19" spans="1:4" s="5" customFormat="1" ht="11.4" x14ac:dyDescent="0.2">
      <c r="A19" s="4" t="s">
        <v>11</v>
      </c>
      <c r="B19" s="38">
        <v>505000</v>
      </c>
      <c r="C19" s="34">
        <f>10100+10100</f>
        <v>20200</v>
      </c>
      <c r="D19" s="34">
        <f t="shared" si="0"/>
        <v>525200</v>
      </c>
    </row>
    <row r="20" spans="1:4" s="5" customFormat="1" ht="12" x14ac:dyDescent="0.25">
      <c r="A20" s="6" t="s">
        <v>4</v>
      </c>
      <c r="B20" s="37">
        <f>SUM(B13:B19)</f>
        <v>2760000</v>
      </c>
      <c r="C20" s="35">
        <f>SUM(C13:C19)</f>
        <v>398800</v>
      </c>
      <c r="D20" s="35">
        <f>SUM(D13:D19)</f>
        <v>3158800</v>
      </c>
    </row>
    <row r="21" spans="1:4" x14ac:dyDescent="0.25">
      <c r="A21" s="7"/>
      <c r="C21" s="19"/>
      <c r="D21" s="19"/>
    </row>
    <row r="22" spans="1:4" x14ac:dyDescent="0.25">
      <c r="A22" s="7"/>
      <c r="B22" s="19"/>
      <c r="C22" s="19"/>
      <c r="D22" s="19"/>
    </row>
    <row r="23" spans="1:4" x14ac:dyDescent="0.25">
      <c r="A23" s="7"/>
      <c r="B23" s="19"/>
      <c r="C23" s="19"/>
      <c r="D23" s="19"/>
    </row>
    <row r="24" spans="1:4" x14ac:dyDescent="0.25">
      <c r="A24" s="7"/>
      <c r="B24" s="19"/>
      <c r="C24" s="19"/>
      <c r="D24" s="19"/>
    </row>
    <row r="25" spans="1:4" x14ac:dyDescent="0.25">
      <c r="A25" s="7"/>
      <c r="B25" s="19"/>
      <c r="C25" s="19"/>
      <c r="D25" s="19"/>
    </row>
    <row r="26" spans="1:4" x14ac:dyDescent="0.25">
      <c r="A26" s="7"/>
      <c r="B26" s="19"/>
      <c r="C26" s="19"/>
      <c r="D26" s="19"/>
    </row>
    <row r="27" spans="1:4" x14ac:dyDescent="0.25">
      <c r="A27" s="7"/>
      <c r="B27" s="19"/>
      <c r="C27" s="19"/>
      <c r="D27" s="19"/>
    </row>
    <row r="28" spans="1:4" x14ac:dyDescent="0.25">
      <c r="A28" s="7"/>
      <c r="B28" s="36"/>
      <c r="C28" s="36"/>
      <c r="D28" s="36"/>
    </row>
    <row r="29" spans="1:4" x14ac:dyDescent="0.25">
      <c r="A29" s="7"/>
      <c r="B29" s="36"/>
      <c r="C29" s="36"/>
      <c r="D29" s="36"/>
    </row>
    <row r="30" spans="1:4" x14ac:dyDescent="0.25">
      <c r="A30" s="7"/>
      <c r="B30" s="36"/>
      <c r="C30" s="36"/>
      <c r="D30" s="36"/>
    </row>
    <row r="31" spans="1:4" x14ac:dyDescent="0.25">
      <c r="A31" s="7"/>
      <c r="B31" s="36"/>
      <c r="C31" s="36"/>
      <c r="D31" s="36"/>
    </row>
    <row r="32" spans="1:4" x14ac:dyDescent="0.25">
      <c r="A32" s="7"/>
      <c r="B32" s="36"/>
      <c r="C32" s="36"/>
      <c r="D32" s="36"/>
    </row>
    <row r="33" spans="1:4" x14ac:dyDescent="0.25">
      <c r="A33" s="7"/>
      <c r="B33" s="36"/>
      <c r="C33" s="36"/>
      <c r="D33" s="36"/>
    </row>
    <row r="34" spans="1:4" x14ac:dyDescent="0.25">
      <c r="A34" s="7"/>
      <c r="B34" s="36"/>
      <c r="C34" s="36"/>
      <c r="D34" s="36"/>
    </row>
    <row r="35" spans="1:4" x14ac:dyDescent="0.25">
      <c r="A35" s="7"/>
      <c r="B35" s="36"/>
      <c r="C35" s="36"/>
      <c r="D35" s="36"/>
    </row>
    <row r="36" spans="1:4" x14ac:dyDescent="0.25">
      <c r="A36" s="7"/>
      <c r="B36" s="36"/>
      <c r="C36" s="36"/>
      <c r="D36" s="36"/>
    </row>
    <row r="37" spans="1:4" x14ac:dyDescent="0.25">
      <c r="A37" s="7"/>
      <c r="B37" s="36"/>
      <c r="C37" s="36"/>
      <c r="D37" s="36"/>
    </row>
    <row r="38" spans="1:4" x14ac:dyDescent="0.25">
      <c r="B38" s="36"/>
      <c r="C38" s="36"/>
      <c r="D38" s="36"/>
    </row>
    <row r="39" spans="1:4" x14ac:dyDescent="0.25">
      <c r="B39" s="36"/>
      <c r="C39" s="36"/>
      <c r="D39" s="36"/>
    </row>
    <row r="40" spans="1:4" x14ac:dyDescent="0.25">
      <c r="B40" s="36"/>
      <c r="C40" s="36"/>
      <c r="D40" s="36"/>
    </row>
    <row r="41" spans="1:4" x14ac:dyDescent="0.25">
      <c r="B41" s="36"/>
      <c r="C41" s="36"/>
      <c r="D41" s="36"/>
    </row>
    <row r="42" spans="1:4" x14ac:dyDescent="0.25">
      <c r="B42" s="36"/>
      <c r="C42" s="36"/>
      <c r="D42" s="36"/>
    </row>
    <row r="43" spans="1:4" x14ac:dyDescent="0.25">
      <c r="B43" s="36"/>
      <c r="C43" s="36"/>
      <c r="D43" s="36"/>
    </row>
    <row r="44" spans="1:4" x14ac:dyDescent="0.25">
      <c r="B44" s="36"/>
      <c r="C44" s="36"/>
      <c r="D44" s="36"/>
    </row>
    <row r="45" spans="1:4" x14ac:dyDescent="0.25">
      <c r="B45" s="36"/>
      <c r="C45" s="36"/>
      <c r="D45" s="36"/>
    </row>
    <row r="46" spans="1:4" x14ac:dyDescent="0.25">
      <c r="B46" s="36"/>
      <c r="C46" s="36"/>
      <c r="D46" s="36"/>
    </row>
    <row r="47" spans="1:4" x14ac:dyDescent="0.25">
      <c r="B47" s="36"/>
      <c r="C47" s="36"/>
      <c r="D47" s="36"/>
    </row>
  </sheetData>
  <mergeCells count="8">
    <mergeCell ref="A11:D11"/>
    <mergeCell ref="A1:D1"/>
    <mergeCell ref="A2:D2"/>
    <mergeCell ref="A3:D3"/>
    <mergeCell ref="A4:D4"/>
    <mergeCell ref="A5:D5"/>
    <mergeCell ref="A6:D8"/>
    <mergeCell ref="A9:D9"/>
  </mergeCells>
  <pageMargins left="0.75" right="0.4" top="0.75" bottom="0.75" header="0.5" footer="0.5"/>
  <pageSetup scale="90" firstPageNumber="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44"/>
  <sheetViews>
    <sheetView workbookViewId="0">
      <selection activeCell="F20" sqref="F20"/>
    </sheetView>
  </sheetViews>
  <sheetFormatPr defaultRowHeight="13.2" x14ac:dyDescent="0.25"/>
  <cols>
    <col min="1" max="1" width="25" style="28" customWidth="1"/>
    <col min="2" max="3" width="25" style="28" hidden="1" customWidth="1"/>
    <col min="4" max="4" width="25" style="28" customWidth="1"/>
    <col min="5" max="6" width="25" style="28" hidden="1" customWidth="1"/>
    <col min="7" max="8" width="25" style="28" customWidth="1"/>
    <col min="9" max="258" width="9.109375" style="1"/>
    <col min="259" max="263" width="18.5546875" style="1" customWidth="1"/>
    <col min="264" max="514" width="9.109375" style="1"/>
    <col min="515" max="519" width="18.5546875" style="1" customWidth="1"/>
    <col min="520" max="770" width="9.109375" style="1"/>
    <col min="771" max="775" width="18.5546875" style="1" customWidth="1"/>
    <col min="776" max="1026" width="9.109375" style="1"/>
    <col min="1027" max="1031" width="18.5546875" style="1" customWidth="1"/>
    <col min="1032" max="1282" width="9.109375" style="1"/>
    <col min="1283" max="1287" width="18.5546875" style="1" customWidth="1"/>
    <col min="1288" max="1538" width="9.109375" style="1"/>
    <col min="1539" max="1543" width="18.5546875" style="1" customWidth="1"/>
    <col min="1544" max="1794" width="9.109375" style="1"/>
    <col min="1795" max="1799" width="18.5546875" style="1" customWidth="1"/>
    <col min="1800" max="2050" width="9.109375" style="1"/>
    <col min="2051" max="2055" width="18.5546875" style="1" customWidth="1"/>
    <col min="2056" max="2306" width="9.109375" style="1"/>
    <col min="2307" max="2311" width="18.5546875" style="1" customWidth="1"/>
    <col min="2312" max="2562" width="9.109375" style="1"/>
    <col min="2563" max="2567" width="18.5546875" style="1" customWidth="1"/>
    <col min="2568" max="2818" width="9.109375" style="1"/>
    <col min="2819" max="2823" width="18.5546875" style="1" customWidth="1"/>
    <col min="2824" max="3074" width="9.109375" style="1"/>
    <col min="3075" max="3079" width="18.5546875" style="1" customWidth="1"/>
    <col min="3080" max="3330" width="9.109375" style="1"/>
    <col min="3331" max="3335" width="18.5546875" style="1" customWidth="1"/>
    <col min="3336" max="3586" width="9.109375" style="1"/>
    <col min="3587" max="3591" width="18.5546875" style="1" customWidth="1"/>
    <col min="3592" max="3842" width="9.109375" style="1"/>
    <col min="3843" max="3847" width="18.5546875" style="1" customWidth="1"/>
    <col min="3848" max="4098" width="9.109375" style="1"/>
    <col min="4099" max="4103" width="18.5546875" style="1" customWidth="1"/>
    <col min="4104" max="4354" width="9.109375" style="1"/>
    <col min="4355" max="4359" width="18.5546875" style="1" customWidth="1"/>
    <col min="4360" max="4610" width="9.109375" style="1"/>
    <col min="4611" max="4615" width="18.5546875" style="1" customWidth="1"/>
    <col min="4616" max="4866" width="9.109375" style="1"/>
    <col min="4867" max="4871" width="18.5546875" style="1" customWidth="1"/>
    <col min="4872" max="5122" width="9.109375" style="1"/>
    <col min="5123" max="5127" width="18.5546875" style="1" customWidth="1"/>
    <col min="5128" max="5378" width="9.109375" style="1"/>
    <col min="5379" max="5383" width="18.5546875" style="1" customWidth="1"/>
    <col min="5384" max="5634" width="9.109375" style="1"/>
    <col min="5635" max="5639" width="18.5546875" style="1" customWidth="1"/>
    <col min="5640" max="5890" width="9.109375" style="1"/>
    <col min="5891" max="5895" width="18.5546875" style="1" customWidth="1"/>
    <col min="5896" max="6146" width="9.109375" style="1"/>
    <col min="6147" max="6151" width="18.5546875" style="1" customWidth="1"/>
    <col min="6152" max="6402" width="9.109375" style="1"/>
    <col min="6403" max="6407" width="18.5546875" style="1" customWidth="1"/>
    <col min="6408" max="6658" width="9.109375" style="1"/>
    <col min="6659" max="6663" width="18.5546875" style="1" customWidth="1"/>
    <col min="6664" max="6914" width="9.109375" style="1"/>
    <col min="6915" max="6919" width="18.5546875" style="1" customWidth="1"/>
    <col min="6920" max="7170" width="9.109375" style="1"/>
    <col min="7171" max="7175" width="18.5546875" style="1" customWidth="1"/>
    <col min="7176" max="7426" width="9.109375" style="1"/>
    <col min="7427" max="7431" width="18.5546875" style="1" customWidth="1"/>
    <col min="7432" max="7682" width="9.109375" style="1"/>
    <col min="7683" max="7687" width="18.5546875" style="1" customWidth="1"/>
    <col min="7688" max="7938" width="9.109375" style="1"/>
    <col min="7939" max="7943" width="18.5546875" style="1" customWidth="1"/>
    <col min="7944" max="8194" width="9.109375" style="1"/>
    <col min="8195" max="8199" width="18.5546875" style="1" customWidth="1"/>
    <col min="8200" max="8450" width="9.109375" style="1"/>
    <col min="8451" max="8455" width="18.5546875" style="1" customWidth="1"/>
    <col min="8456" max="8706" width="9.109375" style="1"/>
    <col min="8707" max="8711" width="18.5546875" style="1" customWidth="1"/>
    <col min="8712" max="8962" width="9.109375" style="1"/>
    <col min="8963" max="8967" width="18.5546875" style="1" customWidth="1"/>
    <col min="8968" max="9218" width="9.109375" style="1"/>
    <col min="9219" max="9223" width="18.5546875" style="1" customWidth="1"/>
    <col min="9224" max="9474" width="9.109375" style="1"/>
    <col min="9475" max="9479" width="18.5546875" style="1" customWidth="1"/>
    <col min="9480" max="9730" width="9.109375" style="1"/>
    <col min="9731" max="9735" width="18.5546875" style="1" customWidth="1"/>
    <col min="9736" max="9986" width="9.109375" style="1"/>
    <col min="9987" max="9991" width="18.5546875" style="1" customWidth="1"/>
    <col min="9992" max="10242" width="9.109375" style="1"/>
    <col min="10243" max="10247" width="18.5546875" style="1" customWidth="1"/>
    <col min="10248" max="10498" width="9.109375" style="1"/>
    <col min="10499" max="10503" width="18.5546875" style="1" customWidth="1"/>
    <col min="10504" max="10754" width="9.109375" style="1"/>
    <col min="10755" max="10759" width="18.5546875" style="1" customWidth="1"/>
    <col min="10760" max="11010" width="9.109375" style="1"/>
    <col min="11011" max="11015" width="18.5546875" style="1" customWidth="1"/>
    <col min="11016" max="11266" width="9.109375" style="1"/>
    <col min="11267" max="11271" width="18.5546875" style="1" customWidth="1"/>
    <col min="11272" max="11522" width="9.109375" style="1"/>
    <col min="11523" max="11527" width="18.5546875" style="1" customWidth="1"/>
    <col min="11528" max="11778" width="9.109375" style="1"/>
    <col min="11779" max="11783" width="18.5546875" style="1" customWidth="1"/>
    <col min="11784" max="12034" width="9.109375" style="1"/>
    <col min="12035" max="12039" width="18.5546875" style="1" customWidth="1"/>
    <col min="12040" max="12290" width="9.109375" style="1"/>
    <col min="12291" max="12295" width="18.5546875" style="1" customWidth="1"/>
    <col min="12296" max="12546" width="9.109375" style="1"/>
    <col min="12547" max="12551" width="18.5546875" style="1" customWidth="1"/>
    <col min="12552" max="12802" width="9.109375" style="1"/>
    <col min="12803" max="12807" width="18.5546875" style="1" customWidth="1"/>
    <col min="12808" max="13058" width="9.109375" style="1"/>
    <col min="13059" max="13063" width="18.5546875" style="1" customWidth="1"/>
    <col min="13064" max="13314" width="9.109375" style="1"/>
    <col min="13315" max="13319" width="18.5546875" style="1" customWidth="1"/>
    <col min="13320" max="13570" width="9.109375" style="1"/>
    <col min="13571" max="13575" width="18.5546875" style="1" customWidth="1"/>
    <col min="13576" max="13826" width="9.109375" style="1"/>
    <col min="13827" max="13831" width="18.5546875" style="1" customWidth="1"/>
    <col min="13832" max="14082" width="9.109375" style="1"/>
    <col min="14083" max="14087" width="18.5546875" style="1" customWidth="1"/>
    <col min="14088" max="14338" width="9.109375" style="1"/>
    <col min="14339" max="14343" width="18.5546875" style="1" customWidth="1"/>
    <col min="14344" max="14594" width="9.109375" style="1"/>
    <col min="14595" max="14599" width="18.5546875" style="1" customWidth="1"/>
    <col min="14600" max="14850" width="9.109375" style="1"/>
    <col min="14851" max="14855" width="18.5546875" style="1" customWidth="1"/>
    <col min="14856" max="15106" width="9.109375" style="1"/>
    <col min="15107" max="15111" width="18.5546875" style="1" customWidth="1"/>
    <col min="15112" max="15362" width="9.109375" style="1"/>
    <col min="15363" max="15367" width="18.5546875" style="1" customWidth="1"/>
    <col min="15368" max="15618" width="9.109375" style="1"/>
    <col min="15619" max="15623" width="18.5546875" style="1" customWidth="1"/>
    <col min="15624" max="15874" width="9.109375" style="1"/>
    <col min="15875" max="15879" width="18.5546875" style="1" customWidth="1"/>
    <col min="15880" max="16130" width="9.109375" style="1"/>
    <col min="16131" max="16135" width="18.5546875" style="1" customWidth="1"/>
    <col min="16136" max="16384" width="9.109375" style="1"/>
  </cols>
  <sheetData>
    <row r="1" spans="1:8" ht="15" customHeight="1" x14ac:dyDescent="0.3">
      <c r="A1" s="69" t="s">
        <v>0</v>
      </c>
      <c r="B1" s="69"/>
      <c r="C1" s="69"/>
      <c r="D1" s="69"/>
      <c r="E1" s="69"/>
      <c r="F1" s="69"/>
      <c r="G1" s="69"/>
      <c r="H1" s="69"/>
    </row>
    <row r="2" spans="1:8" ht="15" customHeight="1" x14ac:dyDescent="0.3">
      <c r="A2" s="69" t="s">
        <v>141</v>
      </c>
      <c r="B2" s="69"/>
      <c r="C2" s="69"/>
      <c r="D2" s="69"/>
      <c r="E2" s="69"/>
      <c r="F2" s="69"/>
      <c r="G2" s="69"/>
      <c r="H2" s="69"/>
    </row>
    <row r="3" spans="1:8" ht="15" customHeight="1" x14ac:dyDescent="0.3">
      <c r="A3" s="70" t="s">
        <v>1</v>
      </c>
      <c r="B3" s="70"/>
      <c r="C3" s="70"/>
      <c r="D3" s="70"/>
      <c r="E3" s="70"/>
      <c r="F3" s="70"/>
      <c r="G3" s="70"/>
      <c r="H3" s="70"/>
    </row>
    <row r="4" spans="1:8" ht="15" customHeight="1" x14ac:dyDescent="0.3">
      <c r="A4" s="70" t="s">
        <v>73</v>
      </c>
      <c r="B4" s="70"/>
      <c r="C4" s="70"/>
      <c r="D4" s="70"/>
      <c r="E4" s="70"/>
      <c r="F4" s="70"/>
      <c r="G4" s="70"/>
      <c r="H4" s="70"/>
    </row>
    <row r="5" spans="1:8" ht="15" customHeight="1" x14ac:dyDescent="0.3">
      <c r="A5" s="70" t="s">
        <v>5</v>
      </c>
      <c r="B5" s="70"/>
      <c r="C5" s="70"/>
      <c r="D5" s="70"/>
      <c r="E5" s="70"/>
      <c r="F5" s="70"/>
      <c r="G5" s="70"/>
      <c r="H5" s="70"/>
    </row>
    <row r="6" spans="1:8" ht="15" customHeight="1" x14ac:dyDescent="0.25">
      <c r="A6" s="71" t="s">
        <v>92</v>
      </c>
      <c r="B6" s="71"/>
      <c r="C6" s="71"/>
      <c r="D6" s="71"/>
      <c r="E6" s="71"/>
      <c r="F6" s="71"/>
      <c r="G6" s="71"/>
      <c r="H6" s="71"/>
    </row>
    <row r="7" spans="1:8" ht="15" customHeight="1" x14ac:dyDescent="0.25">
      <c r="A7" s="71"/>
      <c r="B7" s="71"/>
      <c r="C7" s="71"/>
      <c r="D7" s="71"/>
      <c r="E7" s="71"/>
      <c r="F7" s="71"/>
      <c r="G7" s="71"/>
      <c r="H7" s="71"/>
    </row>
    <row r="8" spans="1:8" ht="15" customHeight="1" x14ac:dyDescent="0.25">
      <c r="A8" s="71"/>
      <c r="B8" s="71"/>
      <c r="C8" s="71"/>
      <c r="D8" s="71"/>
      <c r="E8" s="71"/>
      <c r="F8" s="71"/>
      <c r="G8" s="71"/>
      <c r="H8" s="71"/>
    </row>
    <row r="9" spans="1:8" ht="15" customHeight="1" x14ac:dyDescent="0.25">
      <c r="A9" s="72" t="s">
        <v>128</v>
      </c>
      <c r="B9" s="72"/>
      <c r="C9" s="72"/>
      <c r="D9" s="72"/>
      <c r="E9" s="72"/>
      <c r="F9" s="72"/>
      <c r="G9" s="72"/>
      <c r="H9" s="72"/>
    </row>
    <row r="10" spans="1:8" ht="9" customHeight="1" x14ac:dyDescent="0.3">
      <c r="A10" s="2"/>
      <c r="B10" s="2"/>
      <c r="C10" s="2"/>
      <c r="D10" s="2"/>
      <c r="E10" s="2"/>
      <c r="F10" s="2"/>
      <c r="G10" s="2"/>
      <c r="H10" s="2"/>
    </row>
    <row r="11" spans="1:8" ht="9" customHeight="1" x14ac:dyDescent="0.25">
      <c r="A11" s="68"/>
      <c r="B11" s="68"/>
      <c r="C11" s="68"/>
      <c r="D11" s="68"/>
      <c r="E11" s="68"/>
      <c r="F11" s="68"/>
      <c r="G11" s="68"/>
      <c r="H11" s="68"/>
    </row>
    <row r="12" spans="1:8" x14ac:dyDescent="0.25">
      <c r="A12" s="3" t="s">
        <v>47</v>
      </c>
      <c r="B12" s="62" t="s">
        <v>59</v>
      </c>
      <c r="C12" s="62" t="s">
        <v>144</v>
      </c>
      <c r="D12" s="39" t="s">
        <v>48</v>
      </c>
      <c r="E12" s="66" t="s">
        <v>59</v>
      </c>
      <c r="F12" s="66" t="s">
        <v>144</v>
      </c>
      <c r="G12" s="39" t="s">
        <v>49</v>
      </c>
      <c r="H12" s="39" t="s">
        <v>50</v>
      </c>
    </row>
    <row r="13" spans="1:8" ht="5.25" customHeight="1" x14ac:dyDescent="0.25">
      <c r="B13" s="63"/>
      <c r="C13" s="63"/>
      <c r="E13" s="63"/>
      <c r="F13" s="63"/>
    </row>
    <row r="14" spans="1:8" s="5" customFormat="1" ht="11.4" x14ac:dyDescent="0.2">
      <c r="A14" s="4" t="s">
        <v>6</v>
      </c>
      <c r="B14" s="64">
        <v>323000</v>
      </c>
      <c r="C14" s="64">
        <v>102000</v>
      </c>
      <c r="D14" s="34">
        <v>425000</v>
      </c>
      <c r="E14" s="64">
        <v>33231</v>
      </c>
      <c r="F14" s="64">
        <v>10494</v>
      </c>
      <c r="G14" s="34">
        <v>43725</v>
      </c>
      <c r="H14" s="34">
        <f>+D14+G14</f>
        <v>468725</v>
      </c>
    </row>
    <row r="15" spans="1:8" s="5" customFormat="1" ht="11.4" x14ac:dyDescent="0.2">
      <c r="A15" s="4" t="s">
        <v>7</v>
      </c>
      <c r="B15" s="64">
        <v>330600</v>
      </c>
      <c r="C15" s="64">
        <v>104400</v>
      </c>
      <c r="D15" s="34">
        <v>435000</v>
      </c>
      <c r="E15" s="64">
        <v>23541</v>
      </c>
      <c r="F15" s="64">
        <v>7434</v>
      </c>
      <c r="G15" s="34">
        <v>30975</v>
      </c>
      <c r="H15" s="34">
        <f>+D15+G15</f>
        <v>465975</v>
      </c>
    </row>
    <row r="16" spans="1:8" s="5" customFormat="1" ht="11.4" x14ac:dyDescent="0.2">
      <c r="A16" s="4" t="s">
        <v>8</v>
      </c>
      <c r="B16" s="64">
        <v>342000</v>
      </c>
      <c r="C16" s="64">
        <v>108000</v>
      </c>
      <c r="D16" s="34">
        <v>450000</v>
      </c>
      <c r="E16" s="64">
        <v>11970</v>
      </c>
      <c r="F16" s="64">
        <v>3780</v>
      </c>
      <c r="G16" s="34">
        <v>15750</v>
      </c>
      <c r="H16" s="34">
        <f>+D16+G16</f>
        <v>465750</v>
      </c>
    </row>
    <row r="17" spans="1:8" s="5" customFormat="1" ht="12" x14ac:dyDescent="0.25">
      <c r="A17" s="6" t="s">
        <v>4</v>
      </c>
      <c r="B17" s="65">
        <f t="shared" ref="B17:C17" si="0">SUM(B13:B16)</f>
        <v>995600</v>
      </c>
      <c r="C17" s="65">
        <f t="shared" si="0"/>
        <v>314400</v>
      </c>
      <c r="D17" s="35">
        <f>SUM(D13:D16)</f>
        <v>1310000</v>
      </c>
      <c r="E17" s="65">
        <f t="shared" ref="E17:F17" si="1">SUM(E13:E16)</f>
        <v>68742</v>
      </c>
      <c r="F17" s="65">
        <f t="shared" si="1"/>
        <v>21708</v>
      </c>
      <c r="G17" s="35">
        <f>SUM(G13:G16)</f>
        <v>90450</v>
      </c>
      <c r="H17" s="35">
        <f>SUM(H13:H16)</f>
        <v>1400450</v>
      </c>
    </row>
    <row r="18" spans="1:8" x14ac:dyDescent="0.25">
      <c r="A18" s="7"/>
      <c r="B18" s="7"/>
      <c r="C18" s="7"/>
      <c r="G18" s="19"/>
      <c r="H18" s="19"/>
    </row>
    <row r="19" spans="1:8" x14ac:dyDescent="0.25">
      <c r="A19" s="7"/>
      <c r="B19" s="7"/>
      <c r="C19" s="7"/>
      <c r="D19" s="19"/>
      <c r="E19" s="19"/>
      <c r="F19" s="19"/>
      <c r="G19" s="19"/>
      <c r="H19" s="19"/>
    </row>
    <row r="20" spans="1:8" x14ac:dyDescent="0.25">
      <c r="A20" s="7"/>
      <c r="B20" s="7"/>
      <c r="C20" s="7"/>
      <c r="D20" s="19"/>
      <c r="E20" s="19"/>
      <c r="F20" s="19"/>
      <c r="G20" s="19"/>
      <c r="H20" s="19"/>
    </row>
    <row r="21" spans="1:8" x14ac:dyDescent="0.25">
      <c r="A21" s="7"/>
      <c r="B21" s="7"/>
      <c r="C21" s="7"/>
      <c r="D21" s="19"/>
      <c r="E21" s="19"/>
      <c r="F21" s="19"/>
      <c r="G21" s="19"/>
      <c r="H21" s="19"/>
    </row>
    <row r="22" spans="1:8" x14ac:dyDescent="0.25">
      <c r="A22" s="7"/>
      <c r="B22" s="7"/>
      <c r="C22" s="7"/>
      <c r="D22" s="19"/>
      <c r="E22" s="19"/>
      <c r="F22" s="19"/>
      <c r="G22" s="19"/>
      <c r="H22" s="19"/>
    </row>
    <row r="23" spans="1:8" x14ac:dyDescent="0.25">
      <c r="A23" s="7"/>
      <c r="B23" s="7"/>
      <c r="C23" s="7"/>
      <c r="D23" s="19"/>
      <c r="E23" s="19"/>
      <c r="F23" s="19"/>
      <c r="G23" s="19"/>
      <c r="H23" s="19"/>
    </row>
    <row r="24" spans="1:8" x14ac:dyDescent="0.25">
      <c r="A24" s="7"/>
      <c r="B24" s="7"/>
      <c r="C24" s="7"/>
      <c r="D24" s="19"/>
      <c r="E24" s="19"/>
      <c r="F24" s="19"/>
      <c r="G24" s="19"/>
      <c r="H24" s="19"/>
    </row>
    <row r="25" spans="1:8" x14ac:dyDescent="0.25">
      <c r="A25" s="7"/>
      <c r="B25" s="7"/>
      <c r="C25" s="7"/>
      <c r="D25" s="36"/>
      <c r="E25" s="36"/>
      <c r="F25" s="36"/>
      <c r="G25" s="36"/>
      <c r="H25" s="36"/>
    </row>
    <row r="26" spans="1:8" x14ac:dyDescent="0.25">
      <c r="A26" s="7"/>
      <c r="B26" s="7"/>
      <c r="C26" s="7"/>
      <c r="D26" s="36"/>
      <c r="E26" s="36"/>
      <c r="F26" s="36"/>
      <c r="G26" s="36"/>
      <c r="H26" s="36"/>
    </row>
    <row r="27" spans="1:8" x14ac:dyDescent="0.25">
      <c r="A27" s="7"/>
      <c r="B27" s="7"/>
      <c r="C27" s="7"/>
      <c r="D27" s="36"/>
      <c r="E27" s="36"/>
      <c r="F27" s="36"/>
      <c r="G27" s="36"/>
      <c r="H27" s="36"/>
    </row>
    <row r="28" spans="1:8" x14ac:dyDescent="0.25">
      <c r="A28" s="7"/>
      <c r="B28" s="7"/>
      <c r="C28" s="7"/>
      <c r="D28" s="36"/>
      <c r="E28" s="36"/>
      <c r="F28" s="36"/>
      <c r="G28" s="36"/>
      <c r="H28" s="36"/>
    </row>
    <row r="29" spans="1:8" x14ac:dyDescent="0.25">
      <c r="A29" s="7"/>
      <c r="B29" s="7"/>
      <c r="C29" s="7"/>
      <c r="D29" s="36"/>
      <c r="E29" s="36"/>
      <c r="F29" s="36"/>
      <c r="G29" s="36"/>
      <c r="H29" s="36"/>
    </row>
    <row r="30" spans="1:8" x14ac:dyDescent="0.25">
      <c r="A30" s="7"/>
      <c r="B30" s="7"/>
      <c r="C30" s="7"/>
      <c r="D30" s="36"/>
      <c r="E30" s="36"/>
      <c r="F30" s="36"/>
      <c r="G30" s="36"/>
      <c r="H30" s="36"/>
    </row>
    <row r="31" spans="1:8" x14ac:dyDescent="0.25">
      <c r="A31" s="7"/>
      <c r="B31" s="7"/>
      <c r="C31" s="7"/>
      <c r="D31" s="36"/>
      <c r="E31" s="36"/>
      <c r="F31" s="36"/>
      <c r="G31" s="36"/>
      <c r="H31" s="36"/>
    </row>
    <row r="32" spans="1:8" x14ac:dyDescent="0.25">
      <c r="A32" s="7"/>
      <c r="B32" s="7"/>
      <c r="C32" s="7"/>
      <c r="D32" s="36"/>
      <c r="E32" s="36"/>
      <c r="F32" s="36"/>
      <c r="G32" s="36"/>
      <c r="H32" s="36"/>
    </row>
    <row r="33" spans="1:8" x14ac:dyDescent="0.25">
      <c r="A33" s="7"/>
      <c r="B33" s="7"/>
      <c r="C33" s="7"/>
      <c r="D33" s="36"/>
      <c r="E33" s="36"/>
      <c r="F33" s="36"/>
      <c r="G33" s="36"/>
      <c r="H33" s="36"/>
    </row>
    <row r="34" spans="1:8" x14ac:dyDescent="0.25">
      <c r="A34" s="7"/>
      <c r="B34" s="7"/>
      <c r="C34" s="7"/>
      <c r="D34" s="36"/>
      <c r="E34" s="36"/>
      <c r="F34" s="36"/>
      <c r="G34" s="36"/>
      <c r="H34" s="36"/>
    </row>
    <row r="35" spans="1:8" x14ac:dyDescent="0.25">
      <c r="D35" s="36"/>
      <c r="E35" s="36"/>
      <c r="F35" s="36"/>
      <c r="G35" s="36"/>
      <c r="H35" s="36"/>
    </row>
    <row r="36" spans="1:8" x14ac:dyDescent="0.25">
      <c r="D36" s="36"/>
      <c r="E36" s="36"/>
      <c r="F36" s="36"/>
      <c r="G36" s="36"/>
      <c r="H36" s="36"/>
    </row>
    <row r="37" spans="1:8" x14ac:dyDescent="0.25">
      <c r="D37" s="36"/>
      <c r="E37" s="36"/>
      <c r="F37" s="36"/>
      <c r="G37" s="36"/>
      <c r="H37" s="36"/>
    </row>
    <row r="38" spans="1:8" x14ac:dyDescent="0.25">
      <c r="D38" s="36"/>
      <c r="E38" s="36"/>
      <c r="F38" s="36"/>
      <c r="G38" s="36"/>
      <c r="H38" s="36"/>
    </row>
    <row r="39" spans="1:8" x14ac:dyDescent="0.25">
      <c r="D39" s="36"/>
      <c r="E39" s="36"/>
      <c r="F39" s="36"/>
      <c r="G39" s="36"/>
      <c r="H39" s="36"/>
    </row>
    <row r="40" spans="1:8" x14ac:dyDescent="0.25">
      <c r="D40" s="36"/>
      <c r="E40" s="36"/>
      <c r="F40" s="36"/>
      <c r="G40" s="36"/>
      <c r="H40" s="36"/>
    </row>
    <row r="41" spans="1:8" x14ac:dyDescent="0.25">
      <c r="D41" s="36"/>
      <c r="E41" s="36"/>
      <c r="F41" s="36"/>
      <c r="G41" s="36"/>
      <c r="H41" s="36"/>
    </row>
    <row r="42" spans="1:8" x14ac:dyDescent="0.25">
      <c r="D42" s="36"/>
      <c r="E42" s="36"/>
      <c r="F42" s="36"/>
      <c r="G42" s="36"/>
      <c r="H42" s="36"/>
    </row>
    <row r="43" spans="1:8" x14ac:dyDescent="0.25">
      <c r="D43" s="36"/>
      <c r="E43" s="36"/>
      <c r="F43" s="36"/>
      <c r="G43" s="36"/>
      <c r="H43" s="36"/>
    </row>
    <row r="44" spans="1:8" x14ac:dyDescent="0.25">
      <c r="D44" s="36"/>
      <c r="E44" s="36"/>
      <c r="F44" s="36"/>
      <c r="G44" s="36"/>
      <c r="H44" s="36"/>
    </row>
  </sheetData>
  <mergeCells count="8">
    <mergeCell ref="A11:H11"/>
    <mergeCell ref="A1:H1"/>
    <mergeCell ref="A2:H2"/>
    <mergeCell ref="A3:H3"/>
    <mergeCell ref="A4:H4"/>
    <mergeCell ref="A5:H5"/>
    <mergeCell ref="A6:H8"/>
    <mergeCell ref="A9:H9"/>
  </mergeCells>
  <pageMargins left="0.75" right="0.4" top="0.75" bottom="0.75" header="0.5" footer="0.5"/>
  <pageSetup scale="90" firstPageNumber="0"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D52"/>
  <sheetViews>
    <sheetView workbookViewId="0">
      <selection activeCell="F20" sqref="F20"/>
    </sheetView>
  </sheetViews>
  <sheetFormatPr defaultRowHeight="13.2" x14ac:dyDescent="0.25"/>
  <cols>
    <col min="1" max="4" width="25" style="28" customWidth="1"/>
    <col min="5" max="241" width="9.109375" style="1"/>
    <col min="242" max="246" width="18.5546875" style="1" customWidth="1"/>
    <col min="247" max="497" width="9.109375" style="1"/>
    <col min="498" max="502" width="18.5546875" style="1" customWidth="1"/>
    <col min="503" max="753" width="9.109375" style="1"/>
    <col min="754" max="758" width="18.5546875" style="1" customWidth="1"/>
    <col min="759" max="1009" width="9.109375" style="1"/>
    <col min="1010" max="1014" width="18.5546875" style="1" customWidth="1"/>
    <col min="1015" max="1265" width="9.109375" style="1"/>
    <col min="1266" max="1270" width="18.5546875" style="1" customWidth="1"/>
    <col min="1271" max="1521" width="9.109375" style="1"/>
    <col min="1522" max="1526" width="18.5546875" style="1" customWidth="1"/>
    <col min="1527" max="1777" width="9.109375" style="1"/>
    <col min="1778" max="1782" width="18.5546875" style="1" customWidth="1"/>
    <col min="1783" max="2033" width="9.109375" style="1"/>
    <col min="2034" max="2038" width="18.5546875" style="1" customWidth="1"/>
    <col min="2039" max="2289" width="9.109375" style="1"/>
    <col min="2290" max="2294" width="18.5546875" style="1" customWidth="1"/>
    <col min="2295" max="2545" width="9.109375" style="1"/>
    <col min="2546" max="2550" width="18.5546875" style="1" customWidth="1"/>
    <col min="2551" max="2801" width="9.109375" style="1"/>
    <col min="2802" max="2806" width="18.5546875" style="1" customWidth="1"/>
    <col min="2807" max="3057" width="9.109375" style="1"/>
    <col min="3058" max="3062" width="18.5546875" style="1" customWidth="1"/>
    <col min="3063" max="3313" width="9.109375" style="1"/>
    <col min="3314" max="3318" width="18.5546875" style="1" customWidth="1"/>
    <col min="3319" max="3569" width="9.109375" style="1"/>
    <col min="3570" max="3574" width="18.5546875" style="1" customWidth="1"/>
    <col min="3575" max="3825" width="9.109375" style="1"/>
    <col min="3826" max="3830" width="18.5546875" style="1" customWidth="1"/>
    <col min="3831" max="4081" width="9.109375" style="1"/>
    <col min="4082" max="4086" width="18.5546875" style="1" customWidth="1"/>
    <col min="4087" max="4337" width="9.109375" style="1"/>
    <col min="4338" max="4342" width="18.5546875" style="1" customWidth="1"/>
    <col min="4343" max="4593" width="9.109375" style="1"/>
    <col min="4594" max="4598" width="18.5546875" style="1" customWidth="1"/>
    <col min="4599" max="4849" width="9.109375" style="1"/>
    <col min="4850" max="4854" width="18.5546875" style="1" customWidth="1"/>
    <col min="4855" max="5105" width="9.109375" style="1"/>
    <col min="5106" max="5110" width="18.5546875" style="1" customWidth="1"/>
    <col min="5111" max="5361" width="9.109375" style="1"/>
    <col min="5362" max="5366" width="18.5546875" style="1" customWidth="1"/>
    <col min="5367" max="5617" width="9.109375" style="1"/>
    <col min="5618" max="5622" width="18.5546875" style="1" customWidth="1"/>
    <col min="5623" max="5873" width="9.109375" style="1"/>
    <col min="5874" max="5878" width="18.5546875" style="1" customWidth="1"/>
    <col min="5879" max="6129" width="9.109375" style="1"/>
    <col min="6130" max="6134" width="18.5546875" style="1" customWidth="1"/>
    <col min="6135" max="6385" width="9.109375" style="1"/>
    <col min="6386" max="6390" width="18.5546875" style="1" customWidth="1"/>
    <col min="6391" max="6641" width="9.109375" style="1"/>
    <col min="6642" max="6646" width="18.5546875" style="1" customWidth="1"/>
    <col min="6647" max="6897" width="9.109375" style="1"/>
    <col min="6898" max="6902" width="18.5546875" style="1" customWidth="1"/>
    <col min="6903" max="7153" width="9.109375" style="1"/>
    <col min="7154" max="7158" width="18.5546875" style="1" customWidth="1"/>
    <col min="7159" max="7409" width="9.109375" style="1"/>
    <col min="7410" max="7414" width="18.5546875" style="1" customWidth="1"/>
    <col min="7415" max="7665" width="9.109375" style="1"/>
    <col min="7666" max="7670" width="18.5546875" style="1" customWidth="1"/>
    <col min="7671" max="7921" width="9.109375" style="1"/>
    <col min="7922" max="7926" width="18.5546875" style="1" customWidth="1"/>
    <col min="7927" max="8177" width="9.109375" style="1"/>
    <col min="8178" max="8182" width="18.5546875" style="1" customWidth="1"/>
    <col min="8183" max="8433" width="9.109375" style="1"/>
    <col min="8434" max="8438" width="18.5546875" style="1" customWidth="1"/>
    <col min="8439" max="8689" width="9.109375" style="1"/>
    <col min="8690" max="8694" width="18.5546875" style="1" customWidth="1"/>
    <col min="8695" max="8945" width="9.109375" style="1"/>
    <col min="8946" max="8950" width="18.5546875" style="1" customWidth="1"/>
    <col min="8951" max="9201" width="9.109375" style="1"/>
    <col min="9202" max="9206" width="18.5546875" style="1" customWidth="1"/>
    <col min="9207" max="9457" width="9.109375" style="1"/>
    <col min="9458" max="9462" width="18.5546875" style="1" customWidth="1"/>
    <col min="9463" max="9713" width="9.109375" style="1"/>
    <col min="9714" max="9718" width="18.5546875" style="1" customWidth="1"/>
    <col min="9719" max="9969" width="9.109375" style="1"/>
    <col min="9970" max="9974" width="18.5546875" style="1" customWidth="1"/>
    <col min="9975" max="10225" width="9.109375" style="1"/>
    <col min="10226" max="10230" width="18.5546875" style="1" customWidth="1"/>
    <col min="10231" max="10481" width="9.109375" style="1"/>
    <col min="10482" max="10486" width="18.5546875" style="1" customWidth="1"/>
    <col min="10487" max="10737" width="9.109375" style="1"/>
    <col min="10738" max="10742" width="18.5546875" style="1" customWidth="1"/>
    <col min="10743" max="10993" width="9.109375" style="1"/>
    <col min="10994" max="10998" width="18.5546875" style="1" customWidth="1"/>
    <col min="10999" max="11249" width="9.109375" style="1"/>
    <col min="11250" max="11254" width="18.5546875" style="1" customWidth="1"/>
    <col min="11255" max="11505" width="9.109375" style="1"/>
    <col min="11506" max="11510" width="18.5546875" style="1" customWidth="1"/>
    <col min="11511" max="11761" width="9.109375" style="1"/>
    <col min="11762" max="11766" width="18.5546875" style="1" customWidth="1"/>
    <col min="11767" max="12017" width="9.109375" style="1"/>
    <col min="12018" max="12022" width="18.5546875" style="1" customWidth="1"/>
    <col min="12023" max="12273" width="9.109375" style="1"/>
    <col min="12274" max="12278" width="18.5546875" style="1" customWidth="1"/>
    <col min="12279" max="12529" width="9.109375" style="1"/>
    <col min="12530" max="12534" width="18.5546875" style="1" customWidth="1"/>
    <col min="12535" max="12785" width="9.109375" style="1"/>
    <col min="12786" max="12790" width="18.5546875" style="1" customWidth="1"/>
    <col min="12791" max="13041" width="9.109375" style="1"/>
    <col min="13042" max="13046" width="18.5546875" style="1" customWidth="1"/>
    <col min="13047" max="13297" width="9.109375" style="1"/>
    <col min="13298" max="13302" width="18.5546875" style="1" customWidth="1"/>
    <col min="13303" max="13553" width="9.109375" style="1"/>
    <col min="13554" max="13558" width="18.5546875" style="1" customWidth="1"/>
    <col min="13559" max="13809" width="9.109375" style="1"/>
    <col min="13810" max="13814" width="18.5546875" style="1" customWidth="1"/>
    <col min="13815" max="14065" width="9.109375" style="1"/>
    <col min="14066" max="14070" width="18.5546875" style="1" customWidth="1"/>
    <col min="14071" max="14321" width="9.109375" style="1"/>
    <col min="14322" max="14326" width="18.5546875" style="1" customWidth="1"/>
    <col min="14327" max="14577" width="9.109375" style="1"/>
    <col min="14578" max="14582" width="18.5546875" style="1" customWidth="1"/>
    <col min="14583" max="14833" width="9.109375" style="1"/>
    <col min="14834" max="14838" width="18.5546875" style="1" customWidth="1"/>
    <col min="14839" max="15089" width="9.109375" style="1"/>
    <col min="15090" max="15094" width="18.5546875" style="1" customWidth="1"/>
    <col min="15095" max="15345" width="9.109375" style="1"/>
    <col min="15346" max="15350" width="18.5546875" style="1" customWidth="1"/>
    <col min="15351" max="15601" width="9.109375" style="1"/>
    <col min="15602" max="15606" width="18.5546875" style="1" customWidth="1"/>
    <col min="15607" max="15857" width="9.109375" style="1"/>
    <col min="15858" max="15862" width="18.5546875" style="1" customWidth="1"/>
    <col min="15863" max="16113" width="9.109375" style="1"/>
    <col min="16114" max="16118" width="18.5546875" style="1" customWidth="1"/>
    <col min="16119"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74</v>
      </c>
      <c r="B4" s="70"/>
      <c r="C4" s="70"/>
      <c r="D4" s="70"/>
    </row>
    <row r="5" spans="1:4" ht="15" customHeight="1" x14ac:dyDescent="0.3">
      <c r="A5" s="70" t="s">
        <v>20</v>
      </c>
      <c r="B5" s="70"/>
      <c r="C5" s="70"/>
      <c r="D5" s="70"/>
    </row>
    <row r="6" spans="1:4" ht="15" customHeight="1" x14ac:dyDescent="0.25">
      <c r="A6" s="73" t="s">
        <v>21</v>
      </c>
      <c r="B6" s="73"/>
      <c r="C6" s="73"/>
      <c r="D6" s="73"/>
    </row>
    <row r="7" spans="1:4" ht="15" customHeight="1" x14ac:dyDescent="0.25">
      <c r="A7" s="73"/>
      <c r="B7" s="73"/>
      <c r="C7" s="73"/>
      <c r="D7" s="73"/>
    </row>
    <row r="8" spans="1:4" ht="15" customHeight="1" x14ac:dyDescent="0.25">
      <c r="A8" s="73"/>
      <c r="B8" s="73"/>
      <c r="C8" s="73"/>
      <c r="D8" s="73"/>
    </row>
    <row r="9" spans="1:4" ht="15" customHeight="1" x14ac:dyDescent="0.25">
      <c r="A9" s="72" t="s">
        <v>126</v>
      </c>
      <c r="B9" s="72"/>
      <c r="C9" s="72"/>
      <c r="D9" s="72"/>
    </row>
    <row r="10" spans="1:4" ht="9" customHeight="1" x14ac:dyDescent="0.3">
      <c r="A10" s="2"/>
      <c r="B10" s="2"/>
      <c r="C10" s="2"/>
      <c r="D10" s="2"/>
    </row>
    <row r="11" spans="1:4" ht="9" customHeight="1" x14ac:dyDescent="0.25">
      <c r="A11" s="68"/>
      <c r="B11" s="68"/>
      <c r="C11" s="68"/>
      <c r="D11" s="68"/>
    </row>
    <row r="12" spans="1:4" x14ac:dyDescent="0.25">
      <c r="A12" s="3" t="s">
        <v>47</v>
      </c>
      <c r="B12" s="39" t="s">
        <v>48</v>
      </c>
      <c r="C12" s="39" t="s">
        <v>49</v>
      </c>
      <c r="D12" s="39" t="s">
        <v>50</v>
      </c>
    </row>
    <row r="13" spans="1:4" ht="5.25" customHeight="1" x14ac:dyDescent="0.25">
      <c r="B13" s="40"/>
      <c r="C13" s="40"/>
      <c r="D13" s="40"/>
    </row>
    <row r="14" spans="1:4" s="5" customFormat="1" ht="11.25" customHeight="1" x14ac:dyDescent="0.2">
      <c r="A14" s="4" t="s">
        <v>6</v>
      </c>
      <c r="B14" s="34">
        <v>105000</v>
      </c>
      <c r="C14" s="34">
        <f>22200+21150</f>
        <v>43350</v>
      </c>
      <c r="D14" s="34">
        <f t="shared" ref="D14:D24" si="0">+B14+C14</f>
        <v>148350</v>
      </c>
    </row>
    <row r="15" spans="1:4" s="5" customFormat="1" ht="11.25" customHeight="1" x14ac:dyDescent="0.2">
      <c r="A15" s="4" t="s">
        <v>7</v>
      </c>
      <c r="B15" s="34">
        <v>110000</v>
      </c>
      <c r="C15" s="34">
        <f>21150+19225</f>
        <v>40375</v>
      </c>
      <c r="D15" s="34">
        <f t="shared" si="0"/>
        <v>150375</v>
      </c>
    </row>
    <row r="16" spans="1:4" s="5" customFormat="1" ht="11.25" customHeight="1" x14ac:dyDescent="0.2">
      <c r="A16" s="4" t="s">
        <v>8</v>
      </c>
      <c r="B16" s="34">
        <v>115000</v>
      </c>
      <c r="C16" s="34">
        <f>19225+17212.5</f>
        <v>36437.5</v>
      </c>
      <c r="D16" s="34">
        <f t="shared" si="0"/>
        <v>151437.5</v>
      </c>
    </row>
    <row r="17" spans="1:4" s="5" customFormat="1" ht="11.25" customHeight="1" x14ac:dyDescent="0.2">
      <c r="A17" s="4" t="s">
        <v>9</v>
      </c>
      <c r="B17" s="34">
        <v>120000</v>
      </c>
      <c r="C17" s="34">
        <f>17212.5+15112.5</f>
        <v>32325</v>
      </c>
      <c r="D17" s="34">
        <f t="shared" si="0"/>
        <v>152325</v>
      </c>
    </row>
    <row r="18" spans="1:4" s="5" customFormat="1" ht="11.25" customHeight="1" x14ac:dyDescent="0.2">
      <c r="A18" s="4" t="s">
        <v>10</v>
      </c>
      <c r="B18" s="34">
        <v>120000</v>
      </c>
      <c r="C18" s="34">
        <f>15112.5+13012.5</f>
        <v>28125</v>
      </c>
      <c r="D18" s="34">
        <f t="shared" si="0"/>
        <v>148125</v>
      </c>
    </row>
    <row r="19" spans="1:4" s="5" customFormat="1" ht="11.25" customHeight="1" x14ac:dyDescent="0.2">
      <c r="A19" s="4" t="s">
        <v>11</v>
      </c>
      <c r="B19" s="34">
        <v>125000</v>
      </c>
      <c r="C19" s="34">
        <f>13012.5+10825</f>
        <v>23837.5</v>
      </c>
      <c r="D19" s="34">
        <f t="shared" si="0"/>
        <v>148837.5</v>
      </c>
    </row>
    <row r="20" spans="1:4" s="5" customFormat="1" ht="11.25" customHeight="1" x14ac:dyDescent="0.2">
      <c r="A20" s="4" t="s">
        <v>16</v>
      </c>
      <c r="B20" s="34">
        <v>130000</v>
      </c>
      <c r="C20" s="34">
        <f>10825+8550</f>
        <v>19375</v>
      </c>
      <c r="D20" s="34">
        <f t="shared" si="0"/>
        <v>149375</v>
      </c>
    </row>
    <row r="21" spans="1:4" s="5" customFormat="1" ht="11.25" customHeight="1" x14ac:dyDescent="0.2">
      <c r="A21" s="4" t="s">
        <v>22</v>
      </c>
      <c r="B21" s="34">
        <v>135000</v>
      </c>
      <c r="C21" s="34">
        <f>8550+6525</f>
        <v>15075</v>
      </c>
      <c r="D21" s="34">
        <f t="shared" si="0"/>
        <v>150075</v>
      </c>
    </row>
    <row r="22" spans="1:4" s="5" customFormat="1" ht="11.25" customHeight="1" x14ac:dyDescent="0.2">
      <c r="A22" s="4" t="s">
        <v>23</v>
      </c>
      <c r="B22" s="34">
        <v>140000</v>
      </c>
      <c r="C22" s="34">
        <f>6525+4425</f>
        <v>10950</v>
      </c>
      <c r="D22" s="34">
        <f t="shared" si="0"/>
        <v>150950</v>
      </c>
    </row>
    <row r="23" spans="1:4" s="5" customFormat="1" ht="11.25" customHeight="1" x14ac:dyDescent="0.2">
      <c r="A23" s="4" t="s">
        <v>24</v>
      </c>
      <c r="B23" s="34">
        <v>145000</v>
      </c>
      <c r="C23" s="34">
        <f>4425+2250</f>
        <v>6675</v>
      </c>
      <c r="D23" s="34">
        <f t="shared" si="0"/>
        <v>151675</v>
      </c>
    </row>
    <row r="24" spans="1:4" s="5" customFormat="1" ht="11.25" customHeight="1" x14ac:dyDescent="0.2">
      <c r="A24" s="4" t="s">
        <v>25</v>
      </c>
      <c r="B24" s="34">
        <v>150000</v>
      </c>
      <c r="C24" s="34">
        <v>2250</v>
      </c>
      <c r="D24" s="34">
        <f t="shared" si="0"/>
        <v>152250</v>
      </c>
    </row>
    <row r="25" spans="1:4" s="5" customFormat="1" ht="11.25" customHeight="1" x14ac:dyDescent="0.25">
      <c r="A25" s="6" t="s">
        <v>4</v>
      </c>
      <c r="B25" s="35">
        <f>SUM(B13:B24)</f>
        <v>1395000</v>
      </c>
      <c r="C25" s="35">
        <f>SUM(C13:C24)</f>
        <v>258775</v>
      </c>
      <c r="D25" s="35">
        <f>SUM(D13:D24)</f>
        <v>1653775</v>
      </c>
    </row>
    <row r="26" spans="1:4" ht="11.25" customHeight="1" x14ac:dyDescent="0.25">
      <c r="A26" s="7"/>
      <c r="C26" s="19"/>
      <c r="D26" s="19"/>
    </row>
    <row r="27" spans="1:4" ht="11.25" customHeight="1" x14ac:dyDescent="0.25">
      <c r="A27" s="7"/>
      <c r="B27" s="19"/>
      <c r="C27" s="19"/>
      <c r="D27" s="19"/>
    </row>
    <row r="28" spans="1:4" ht="11.25" customHeight="1" x14ac:dyDescent="0.25">
      <c r="A28" s="7"/>
      <c r="B28" s="19"/>
      <c r="C28" s="19"/>
      <c r="D28" s="19"/>
    </row>
    <row r="29" spans="1:4" ht="11.25" customHeight="1" x14ac:dyDescent="0.25">
      <c r="A29" s="7"/>
      <c r="B29" s="19"/>
      <c r="C29" s="19"/>
      <c r="D29" s="19"/>
    </row>
    <row r="30" spans="1:4" ht="11.25" customHeight="1" x14ac:dyDescent="0.25">
      <c r="A30" s="7"/>
      <c r="B30" s="19"/>
      <c r="C30" s="19"/>
      <c r="D30" s="19"/>
    </row>
    <row r="31" spans="1:4" ht="11.25" customHeight="1" x14ac:dyDescent="0.25">
      <c r="A31" s="7"/>
      <c r="B31" s="19"/>
      <c r="C31" s="19"/>
      <c r="D31" s="19"/>
    </row>
    <row r="32" spans="1:4" ht="11.25" customHeight="1" x14ac:dyDescent="0.25">
      <c r="A32" s="7"/>
      <c r="B32" s="19"/>
      <c r="C32" s="19"/>
      <c r="D32" s="19"/>
    </row>
    <row r="33" spans="1:4" x14ac:dyDescent="0.25">
      <c r="A33" s="7"/>
      <c r="B33" s="36"/>
      <c r="C33" s="36"/>
      <c r="D33" s="36"/>
    </row>
    <row r="34" spans="1:4" x14ac:dyDescent="0.25">
      <c r="A34" s="7"/>
      <c r="B34" s="36"/>
      <c r="C34" s="36"/>
      <c r="D34" s="36"/>
    </row>
    <row r="35" spans="1:4" x14ac:dyDescent="0.25">
      <c r="A35" s="7"/>
      <c r="B35" s="36"/>
      <c r="C35" s="36"/>
      <c r="D35" s="36"/>
    </row>
    <row r="36" spans="1:4" x14ac:dyDescent="0.25">
      <c r="A36" s="7"/>
      <c r="B36" s="36"/>
      <c r="C36" s="36"/>
      <c r="D36" s="36"/>
    </row>
    <row r="37" spans="1:4" x14ac:dyDescent="0.25">
      <c r="A37" s="7"/>
      <c r="B37" s="36"/>
      <c r="C37" s="36"/>
      <c r="D37" s="36"/>
    </row>
    <row r="38" spans="1:4" x14ac:dyDescent="0.25">
      <c r="A38" s="7"/>
      <c r="B38" s="36"/>
      <c r="C38" s="36"/>
      <c r="D38" s="36"/>
    </row>
    <row r="39" spans="1:4" x14ac:dyDescent="0.25">
      <c r="A39" s="7"/>
      <c r="B39" s="36"/>
      <c r="C39" s="36"/>
      <c r="D39" s="36"/>
    </row>
    <row r="40" spans="1:4" x14ac:dyDescent="0.25">
      <c r="A40" s="7"/>
      <c r="B40" s="36"/>
      <c r="C40" s="36"/>
      <c r="D40" s="36"/>
    </row>
    <row r="41" spans="1:4" x14ac:dyDescent="0.25">
      <c r="A41" s="7"/>
      <c r="B41" s="36"/>
      <c r="C41" s="36"/>
      <c r="D41" s="36"/>
    </row>
    <row r="42" spans="1:4" x14ac:dyDescent="0.25">
      <c r="A42" s="7"/>
      <c r="B42" s="36"/>
      <c r="C42" s="36"/>
      <c r="D42" s="36"/>
    </row>
    <row r="43" spans="1:4" x14ac:dyDescent="0.25">
      <c r="B43" s="36"/>
      <c r="C43" s="36"/>
      <c r="D43" s="36"/>
    </row>
    <row r="44" spans="1:4" x14ac:dyDescent="0.25">
      <c r="B44" s="36"/>
      <c r="C44" s="36"/>
      <c r="D44" s="36"/>
    </row>
    <row r="45" spans="1:4" x14ac:dyDescent="0.25">
      <c r="B45" s="36"/>
      <c r="C45" s="36"/>
      <c r="D45" s="36"/>
    </row>
    <row r="46" spans="1:4" x14ac:dyDescent="0.25">
      <c r="B46" s="36"/>
      <c r="C46" s="36"/>
      <c r="D46" s="36"/>
    </row>
    <row r="47" spans="1:4" x14ac:dyDescent="0.25">
      <c r="B47" s="36"/>
      <c r="C47" s="36"/>
      <c r="D47" s="36"/>
    </row>
    <row r="48" spans="1:4" x14ac:dyDescent="0.25">
      <c r="B48" s="36"/>
      <c r="C48" s="36"/>
      <c r="D48" s="36"/>
    </row>
    <row r="49" spans="2:4" x14ac:dyDescent="0.25">
      <c r="B49" s="36"/>
      <c r="C49" s="36"/>
      <c r="D49" s="36"/>
    </row>
    <row r="50" spans="2:4" x14ac:dyDescent="0.25">
      <c r="B50" s="36"/>
      <c r="C50" s="36"/>
      <c r="D50" s="36"/>
    </row>
    <row r="51" spans="2:4" x14ac:dyDescent="0.25">
      <c r="B51" s="36"/>
      <c r="C51" s="36"/>
      <c r="D51" s="36"/>
    </row>
    <row r="52" spans="2:4" x14ac:dyDescent="0.25">
      <c r="B52" s="36"/>
      <c r="C52" s="36"/>
      <c r="D52" s="36"/>
    </row>
  </sheetData>
  <mergeCells count="8">
    <mergeCell ref="A11:D11"/>
    <mergeCell ref="A1:D1"/>
    <mergeCell ref="A2:D2"/>
    <mergeCell ref="A3:D3"/>
    <mergeCell ref="A4:D4"/>
    <mergeCell ref="A5:D5"/>
    <mergeCell ref="A6:D8"/>
    <mergeCell ref="A9:D9"/>
  </mergeCells>
  <pageMargins left="0.75" right="0.4" top="0.75" bottom="0.75" header="0.5" footer="0.5"/>
  <pageSetup scale="90" firstPageNumber="0"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D54"/>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94</v>
      </c>
      <c r="B4" s="70"/>
      <c r="C4" s="70"/>
      <c r="D4" s="70"/>
    </row>
    <row r="5" spans="1:4" ht="15" customHeight="1" x14ac:dyDescent="0.3">
      <c r="A5" s="70" t="s">
        <v>26</v>
      </c>
      <c r="B5" s="70"/>
      <c r="C5" s="70"/>
      <c r="D5" s="70"/>
    </row>
    <row r="6" spans="1:4" ht="8.25" customHeight="1" x14ac:dyDescent="0.25">
      <c r="A6" s="73" t="s">
        <v>27</v>
      </c>
      <c r="B6" s="73"/>
      <c r="C6" s="73"/>
      <c r="D6" s="73"/>
    </row>
    <row r="7" spans="1:4" ht="15" customHeight="1" x14ac:dyDescent="0.25">
      <c r="A7" s="73"/>
      <c r="B7" s="73"/>
      <c r="C7" s="73"/>
      <c r="D7" s="73"/>
    </row>
    <row r="8" spans="1:4" ht="15" customHeight="1" x14ac:dyDescent="0.25">
      <c r="A8" s="73"/>
      <c r="B8" s="73"/>
      <c r="C8" s="73"/>
      <c r="D8" s="73"/>
    </row>
    <row r="9" spans="1:4" ht="15" customHeight="1" x14ac:dyDescent="0.25">
      <c r="A9" s="72" t="s">
        <v>125</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row r="14" spans="1:4" s="5" customFormat="1" ht="12" customHeight="1" x14ac:dyDescent="0.2">
      <c r="A14" s="4" t="s">
        <v>6</v>
      </c>
      <c r="B14" s="34">
        <v>285000</v>
      </c>
      <c r="C14" s="34">
        <f>89475+83062.5</f>
        <v>172537.5</v>
      </c>
      <c r="D14" s="34">
        <f t="shared" ref="D14:D26" si="0">+B14+C14</f>
        <v>457537.5</v>
      </c>
    </row>
    <row r="15" spans="1:4" s="5" customFormat="1" ht="12" customHeight="1" x14ac:dyDescent="0.2">
      <c r="A15" s="4" t="s">
        <v>7</v>
      </c>
      <c r="B15" s="34">
        <v>300000</v>
      </c>
      <c r="C15" s="34">
        <f>83062.5+76312.5</f>
        <v>159375</v>
      </c>
      <c r="D15" s="34">
        <f t="shared" si="0"/>
        <v>459375</v>
      </c>
    </row>
    <row r="16" spans="1:4" s="5" customFormat="1" ht="12" customHeight="1" x14ac:dyDescent="0.2">
      <c r="A16" s="4" t="s">
        <v>8</v>
      </c>
      <c r="B16" s="34">
        <v>310000</v>
      </c>
      <c r="C16" s="34">
        <f>76312.5+70112.5</f>
        <v>146425</v>
      </c>
      <c r="D16" s="34">
        <f t="shared" si="0"/>
        <v>456425</v>
      </c>
    </row>
    <row r="17" spans="1:4" s="5" customFormat="1" ht="12" customHeight="1" x14ac:dyDescent="0.2">
      <c r="A17" s="4" t="s">
        <v>9</v>
      </c>
      <c r="B17" s="34">
        <v>325000</v>
      </c>
      <c r="C17" s="34">
        <f>70112.5+63612.5</f>
        <v>133725</v>
      </c>
      <c r="D17" s="34">
        <f t="shared" si="0"/>
        <v>458725</v>
      </c>
    </row>
    <row r="18" spans="1:4" s="5" customFormat="1" ht="12" customHeight="1" x14ac:dyDescent="0.2">
      <c r="A18" s="4" t="s">
        <v>10</v>
      </c>
      <c r="B18" s="34">
        <v>335000</v>
      </c>
      <c r="C18" s="34">
        <f>63612.5+56912.5</f>
        <v>120525</v>
      </c>
      <c r="D18" s="34">
        <f t="shared" si="0"/>
        <v>455525</v>
      </c>
    </row>
    <row r="19" spans="1:4" s="5" customFormat="1" ht="12" customHeight="1" x14ac:dyDescent="0.2">
      <c r="A19" s="4" t="s">
        <v>11</v>
      </c>
      <c r="B19" s="34">
        <v>350000</v>
      </c>
      <c r="C19" s="34">
        <f>56912.5+49912.5</f>
        <v>106825</v>
      </c>
      <c r="D19" s="34">
        <f t="shared" si="0"/>
        <v>456825</v>
      </c>
    </row>
    <row r="20" spans="1:4" s="5" customFormat="1" ht="12" customHeight="1" x14ac:dyDescent="0.2">
      <c r="A20" s="4" t="s">
        <v>16</v>
      </c>
      <c r="B20" s="34">
        <v>365000</v>
      </c>
      <c r="C20" s="34">
        <f>49912.5+42612.5</f>
        <v>92525</v>
      </c>
      <c r="D20" s="34">
        <f t="shared" si="0"/>
        <v>457525</v>
      </c>
    </row>
    <row r="21" spans="1:4" s="5" customFormat="1" ht="12" customHeight="1" x14ac:dyDescent="0.2">
      <c r="A21" s="4" t="s">
        <v>22</v>
      </c>
      <c r="B21" s="34">
        <v>380000</v>
      </c>
      <c r="C21" s="34">
        <f>42612.5+35012.5</f>
        <v>77625</v>
      </c>
      <c r="D21" s="34">
        <f t="shared" si="0"/>
        <v>457625</v>
      </c>
    </row>
    <row r="22" spans="1:4" s="5" customFormat="1" ht="12" customHeight="1" x14ac:dyDescent="0.2">
      <c r="A22" s="4" t="s">
        <v>23</v>
      </c>
      <c r="B22" s="34">
        <v>395000</v>
      </c>
      <c r="C22" s="34">
        <f>35012.5+27112.5</f>
        <v>62125</v>
      </c>
      <c r="D22" s="34">
        <f t="shared" si="0"/>
        <v>457125</v>
      </c>
    </row>
    <row r="23" spans="1:4" s="5" customFormat="1" ht="12" customHeight="1" x14ac:dyDescent="0.2">
      <c r="A23" s="4" t="s">
        <v>24</v>
      </c>
      <c r="B23" s="34">
        <v>410000</v>
      </c>
      <c r="C23" s="34">
        <f>27112.5+20962.5</f>
        <v>48075</v>
      </c>
      <c r="D23" s="34">
        <f t="shared" si="0"/>
        <v>458075</v>
      </c>
    </row>
    <row r="24" spans="1:4" s="5" customFormat="1" ht="12" customHeight="1" x14ac:dyDescent="0.2">
      <c r="A24" s="4" t="s">
        <v>25</v>
      </c>
      <c r="B24" s="34">
        <v>420000</v>
      </c>
      <c r="C24" s="34">
        <f>20962.5+14662.5</f>
        <v>35625</v>
      </c>
      <c r="D24" s="34">
        <f t="shared" si="0"/>
        <v>455625</v>
      </c>
    </row>
    <row r="25" spans="1:4" s="5" customFormat="1" ht="12" customHeight="1" x14ac:dyDescent="0.2">
      <c r="A25" s="4" t="s">
        <v>28</v>
      </c>
      <c r="B25" s="34">
        <v>435000</v>
      </c>
      <c r="C25" s="34">
        <f>14662.5+7593.75</f>
        <v>22256.25</v>
      </c>
      <c r="D25" s="34">
        <f t="shared" si="0"/>
        <v>457256.25</v>
      </c>
    </row>
    <row r="26" spans="1:4" s="5" customFormat="1" ht="12" customHeight="1" x14ac:dyDescent="0.2">
      <c r="A26" s="4" t="s">
        <v>29</v>
      </c>
      <c r="B26" s="34">
        <v>450000</v>
      </c>
      <c r="C26" s="34">
        <v>7593.75</v>
      </c>
      <c r="D26" s="34">
        <f t="shared" si="0"/>
        <v>457593.75</v>
      </c>
    </row>
    <row r="27" spans="1:4" s="5" customFormat="1" ht="12" customHeight="1" x14ac:dyDescent="0.25">
      <c r="A27" s="6" t="s">
        <v>4</v>
      </c>
      <c r="B27" s="35">
        <f>SUM(B13:B26)</f>
        <v>4760000</v>
      </c>
      <c r="C27" s="35">
        <f>SUM(C13:C26)</f>
        <v>1185237.5</v>
      </c>
      <c r="D27" s="35">
        <f>SUM(D13:D26)</f>
        <v>5945237.5</v>
      </c>
    </row>
    <row r="28" spans="1:4" ht="11.25" customHeight="1" x14ac:dyDescent="0.25">
      <c r="A28" s="7"/>
      <c r="C28" s="19"/>
      <c r="D28" s="19"/>
    </row>
    <row r="29" spans="1:4" ht="11.25" customHeight="1" x14ac:dyDescent="0.25">
      <c r="A29" s="7"/>
      <c r="B29" s="19"/>
      <c r="C29" s="19"/>
      <c r="D29" s="19"/>
    </row>
    <row r="30" spans="1:4" ht="11.25" customHeight="1" x14ac:dyDescent="0.25">
      <c r="A30" s="7"/>
      <c r="B30" s="19"/>
      <c r="C30" s="19"/>
      <c r="D30" s="19"/>
    </row>
    <row r="31" spans="1:4" ht="11.25" customHeight="1" x14ac:dyDescent="0.25">
      <c r="A31" s="7"/>
      <c r="B31" s="19"/>
      <c r="C31" s="19"/>
      <c r="D31" s="19"/>
    </row>
    <row r="32" spans="1:4" ht="11.25" customHeight="1" x14ac:dyDescent="0.25">
      <c r="A32" s="7"/>
      <c r="B32" s="19"/>
      <c r="C32" s="19"/>
      <c r="D32" s="19"/>
    </row>
    <row r="33" spans="1:4" ht="11.25" customHeight="1" x14ac:dyDescent="0.25">
      <c r="A33" s="7"/>
      <c r="B33" s="19"/>
      <c r="C33" s="19"/>
      <c r="D33" s="19"/>
    </row>
    <row r="34" spans="1:4" ht="11.25" customHeight="1" x14ac:dyDescent="0.25">
      <c r="A34" s="7"/>
      <c r="B34" s="19"/>
      <c r="C34" s="19"/>
      <c r="D34" s="19"/>
    </row>
    <row r="35" spans="1:4" x14ac:dyDescent="0.25">
      <c r="A35" s="7"/>
      <c r="B35" s="36"/>
      <c r="C35" s="36"/>
      <c r="D35" s="36"/>
    </row>
    <row r="36" spans="1:4" x14ac:dyDescent="0.25">
      <c r="A36" s="7"/>
      <c r="B36" s="36"/>
      <c r="C36" s="36"/>
      <c r="D36" s="36"/>
    </row>
    <row r="37" spans="1:4" x14ac:dyDescent="0.25">
      <c r="A37" s="7"/>
      <c r="B37" s="36"/>
      <c r="C37" s="36"/>
      <c r="D37" s="36"/>
    </row>
    <row r="38" spans="1:4" x14ac:dyDescent="0.25">
      <c r="A38" s="7"/>
      <c r="B38" s="36"/>
      <c r="C38" s="36"/>
      <c r="D38" s="36"/>
    </row>
    <row r="39" spans="1:4" x14ac:dyDescent="0.25">
      <c r="A39" s="7"/>
      <c r="B39" s="36"/>
      <c r="C39" s="36"/>
      <c r="D39" s="36"/>
    </row>
    <row r="40" spans="1:4" x14ac:dyDescent="0.25">
      <c r="A40" s="7"/>
      <c r="B40" s="36"/>
      <c r="C40" s="36"/>
      <c r="D40" s="36"/>
    </row>
    <row r="41" spans="1:4" x14ac:dyDescent="0.25">
      <c r="A41" s="7"/>
      <c r="B41" s="36"/>
      <c r="C41" s="36"/>
      <c r="D41" s="36"/>
    </row>
    <row r="42" spans="1:4" x14ac:dyDescent="0.25">
      <c r="A42" s="7"/>
      <c r="B42" s="36"/>
      <c r="C42" s="36"/>
      <c r="D42" s="36"/>
    </row>
    <row r="43" spans="1:4" x14ac:dyDescent="0.25">
      <c r="A43" s="7"/>
      <c r="B43" s="36"/>
      <c r="C43" s="36"/>
      <c r="D43" s="36"/>
    </row>
    <row r="44" spans="1:4" x14ac:dyDescent="0.25">
      <c r="A44" s="7"/>
      <c r="B44" s="36"/>
      <c r="C44" s="36"/>
      <c r="D44" s="36"/>
    </row>
    <row r="45" spans="1:4" x14ac:dyDescent="0.25">
      <c r="B45" s="36"/>
      <c r="C45" s="36"/>
      <c r="D45" s="36"/>
    </row>
    <row r="46" spans="1:4" x14ac:dyDescent="0.25">
      <c r="B46" s="36"/>
      <c r="C46" s="36"/>
      <c r="D46" s="36"/>
    </row>
    <row r="47" spans="1:4" x14ac:dyDescent="0.25">
      <c r="B47" s="36"/>
      <c r="C47" s="36"/>
      <c r="D47" s="36"/>
    </row>
    <row r="48" spans="1:4" x14ac:dyDescent="0.25">
      <c r="B48" s="36"/>
      <c r="C48" s="36"/>
      <c r="D48" s="36"/>
    </row>
    <row r="49" spans="2:4" x14ac:dyDescent="0.25">
      <c r="B49" s="36"/>
      <c r="C49" s="36"/>
      <c r="D49" s="36"/>
    </row>
    <row r="50" spans="2:4" x14ac:dyDescent="0.25">
      <c r="B50" s="36"/>
      <c r="C50" s="36"/>
      <c r="D50" s="36"/>
    </row>
    <row r="51" spans="2:4" x14ac:dyDescent="0.25">
      <c r="B51" s="36"/>
      <c r="C51" s="36"/>
      <c r="D51" s="36"/>
    </row>
    <row r="52" spans="2:4" x14ac:dyDescent="0.25">
      <c r="B52" s="36"/>
      <c r="C52" s="36"/>
      <c r="D52" s="36"/>
    </row>
    <row r="53" spans="2:4" x14ac:dyDescent="0.25">
      <c r="B53" s="36"/>
      <c r="C53" s="36"/>
      <c r="D53" s="36"/>
    </row>
    <row r="54" spans="2:4" x14ac:dyDescent="0.25">
      <c r="B54" s="36"/>
      <c r="C54" s="36"/>
      <c r="D54" s="36"/>
    </row>
  </sheetData>
  <mergeCells count="8">
    <mergeCell ref="A11:D11"/>
    <mergeCell ref="A1:D1"/>
    <mergeCell ref="A2:D2"/>
    <mergeCell ref="A3:D3"/>
    <mergeCell ref="A4:D4"/>
    <mergeCell ref="A5:D5"/>
    <mergeCell ref="A6:D8"/>
    <mergeCell ref="A9:D9"/>
  </mergeCells>
  <pageMargins left="0.75" right="0.4" top="0.75" bottom="0.75" header="0.5" footer="0.5"/>
  <pageSetup scale="90" firstPageNumber="0"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D55"/>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42</v>
      </c>
      <c r="B4" s="70"/>
      <c r="C4" s="70"/>
      <c r="D4" s="70"/>
    </row>
    <row r="5" spans="1:4" ht="15" customHeight="1" x14ac:dyDescent="0.3">
      <c r="A5" s="70" t="s">
        <v>43</v>
      </c>
      <c r="B5" s="70"/>
      <c r="C5" s="70"/>
      <c r="D5" s="70"/>
    </row>
    <row r="6" spans="1:4" ht="8.25" customHeight="1" x14ac:dyDescent="0.25">
      <c r="A6" s="73" t="s">
        <v>44</v>
      </c>
      <c r="B6" s="73"/>
      <c r="C6" s="73"/>
      <c r="D6" s="73"/>
    </row>
    <row r="7" spans="1:4" ht="15" customHeight="1" x14ac:dyDescent="0.25">
      <c r="A7" s="73"/>
      <c r="B7" s="73"/>
      <c r="C7" s="73"/>
      <c r="D7" s="73"/>
    </row>
    <row r="8" spans="1:4" ht="15" customHeight="1" x14ac:dyDescent="0.25">
      <c r="A8" s="73"/>
      <c r="B8" s="73"/>
      <c r="C8" s="73"/>
      <c r="D8" s="73"/>
    </row>
    <row r="9" spans="1:4" ht="15" customHeight="1" x14ac:dyDescent="0.25">
      <c r="A9" s="72" t="s">
        <v>125</v>
      </c>
      <c r="B9" s="72"/>
      <c r="C9" s="72"/>
      <c r="D9" s="72"/>
    </row>
    <row r="10" spans="1:4" ht="9" customHeight="1" x14ac:dyDescent="0.25">
      <c r="A10" s="41"/>
      <c r="B10" s="41"/>
      <c r="C10" s="41"/>
      <c r="D10" s="41"/>
    </row>
    <row r="11" spans="1:4" ht="9" customHeight="1" x14ac:dyDescent="0.25">
      <c r="A11" s="68"/>
      <c r="B11" s="68"/>
      <c r="C11" s="68"/>
      <c r="D11" s="68"/>
    </row>
    <row r="12" spans="1:4" x14ac:dyDescent="0.25">
      <c r="A12" s="3" t="s">
        <v>47</v>
      </c>
      <c r="B12" s="39" t="s">
        <v>48</v>
      </c>
      <c r="C12" s="39" t="s">
        <v>49</v>
      </c>
      <c r="D12" s="39" t="s">
        <v>50</v>
      </c>
    </row>
    <row r="13" spans="1:4" ht="8.25" customHeight="1" x14ac:dyDescent="0.25"/>
    <row r="14" spans="1:4" s="5" customFormat="1" ht="12" customHeight="1" x14ac:dyDescent="0.2">
      <c r="A14" s="4" t="s">
        <v>6</v>
      </c>
      <c r="B14" s="34">
        <v>75000</v>
      </c>
      <c r="C14" s="34">
        <f>22912.5+21037.5</f>
        <v>43950</v>
      </c>
      <c r="D14" s="34">
        <f t="shared" ref="D14:D26" si="0">+B14+C14</f>
        <v>118950</v>
      </c>
    </row>
    <row r="15" spans="1:4" s="5" customFormat="1" ht="12" customHeight="1" x14ac:dyDescent="0.2">
      <c r="A15" s="4" t="s">
        <v>7</v>
      </c>
      <c r="B15" s="34">
        <v>80000</v>
      </c>
      <c r="C15" s="34">
        <f>21037.5+19037.5</f>
        <v>40075</v>
      </c>
      <c r="D15" s="34">
        <f t="shared" si="0"/>
        <v>120075</v>
      </c>
    </row>
    <row r="16" spans="1:4" s="5" customFormat="1" ht="12" customHeight="1" x14ac:dyDescent="0.2">
      <c r="A16" s="4" t="s">
        <v>8</v>
      </c>
      <c r="B16" s="34">
        <v>85000</v>
      </c>
      <c r="C16" s="34">
        <f>19037.5+17550</f>
        <v>36587.5</v>
      </c>
      <c r="D16" s="34">
        <f t="shared" si="0"/>
        <v>121587.5</v>
      </c>
    </row>
    <row r="17" spans="1:4" s="5" customFormat="1" ht="12" customHeight="1" x14ac:dyDescent="0.2">
      <c r="A17" s="4" t="s">
        <v>9</v>
      </c>
      <c r="B17" s="34">
        <v>85000</v>
      </c>
      <c r="C17" s="34">
        <f>17550+16062.5</f>
        <v>33612.5</v>
      </c>
      <c r="D17" s="34">
        <f t="shared" si="0"/>
        <v>118612.5</v>
      </c>
    </row>
    <row r="18" spans="1:4" s="5" customFormat="1" ht="12" customHeight="1" x14ac:dyDescent="0.2">
      <c r="A18" s="4" t="s">
        <v>10</v>
      </c>
      <c r="B18" s="34">
        <v>90000</v>
      </c>
      <c r="C18" s="34">
        <f>16062.5+14487.5</f>
        <v>30550</v>
      </c>
      <c r="D18" s="34">
        <f t="shared" si="0"/>
        <v>120550</v>
      </c>
    </row>
    <row r="19" spans="1:4" s="5" customFormat="1" ht="12" customHeight="1" x14ac:dyDescent="0.2">
      <c r="A19" s="4" t="s">
        <v>11</v>
      </c>
      <c r="B19" s="34">
        <v>95000</v>
      </c>
      <c r="C19" s="34">
        <f>14487.5+12825</f>
        <v>27312.5</v>
      </c>
      <c r="D19" s="34">
        <f t="shared" si="0"/>
        <v>122312.5</v>
      </c>
    </row>
    <row r="20" spans="1:4" s="5" customFormat="1" ht="12" customHeight="1" x14ac:dyDescent="0.2">
      <c r="A20" s="4" t="s">
        <v>16</v>
      </c>
      <c r="B20" s="34">
        <v>95000</v>
      </c>
      <c r="C20" s="34">
        <f>12825+11400</f>
        <v>24225</v>
      </c>
      <c r="D20" s="34">
        <f t="shared" si="0"/>
        <v>119225</v>
      </c>
    </row>
    <row r="21" spans="1:4" s="5" customFormat="1" ht="12" customHeight="1" x14ac:dyDescent="0.2">
      <c r="A21" s="4" t="s">
        <v>22</v>
      </c>
      <c r="B21" s="34">
        <v>100000</v>
      </c>
      <c r="C21" s="34">
        <f>11400+9900</f>
        <v>21300</v>
      </c>
      <c r="D21" s="34">
        <f t="shared" si="0"/>
        <v>121300</v>
      </c>
    </row>
    <row r="22" spans="1:4" s="5" customFormat="1" ht="12" customHeight="1" x14ac:dyDescent="0.2">
      <c r="A22" s="4" t="s">
        <v>23</v>
      </c>
      <c r="B22" s="34">
        <v>100000</v>
      </c>
      <c r="C22" s="34">
        <f>9900+8400</f>
        <v>18300</v>
      </c>
      <c r="D22" s="34">
        <f t="shared" si="0"/>
        <v>118300</v>
      </c>
    </row>
    <row r="23" spans="1:4" s="5" customFormat="1" ht="12" customHeight="1" x14ac:dyDescent="0.2">
      <c r="A23" s="4" t="s">
        <v>24</v>
      </c>
      <c r="B23" s="34">
        <v>105000</v>
      </c>
      <c r="C23" s="34">
        <f>8400+6825</f>
        <v>15225</v>
      </c>
      <c r="D23" s="34">
        <f t="shared" si="0"/>
        <v>120225</v>
      </c>
    </row>
    <row r="24" spans="1:4" s="5" customFormat="1" ht="12" customHeight="1" x14ac:dyDescent="0.2">
      <c r="A24" s="4" t="s">
        <v>25</v>
      </c>
      <c r="B24" s="34">
        <v>110000</v>
      </c>
      <c r="C24" s="34">
        <f>6825+5175</f>
        <v>12000</v>
      </c>
      <c r="D24" s="34">
        <f t="shared" si="0"/>
        <v>122000</v>
      </c>
    </row>
    <row r="25" spans="1:4" s="5" customFormat="1" ht="12" customHeight="1" x14ac:dyDescent="0.2">
      <c r="A25" s="4" t="s">
        <v>28</v>
      </c>
      <c r="B25" s="34">
        <v>110000</v>
      </c>
      <c r="C25" s="34">
        <f>5175+3525</f>
        <v>8700</v>
      </c>
      <c r="D25" s="34">
        <f t="shared" si="0"/>
        <v>118700</v>
      </c>
    </row>
    <row r="26" spans="1:4" s="5" customFormat="1" ht="12" customHeight="1" x14ac:dyDescent="0.2">
      <c r="A26" s="4" t="s">
        <v>29</v>
      </c>
      <c r="B26" s="34">
        <v>115000</v>
      </c>
      <c r="C26" s="34">
        <f>3525+1800</f>
        <v>5325</v>
      </c>
      <c r="D26" s="34">
        <f t="shared" si="0"/>
        <v>120325</v>
      </c>
    </row>
    <row r="27" spans="1:4" s="5" customFormat="1" ht="12" customHeight="1" x14ac:dyDescent="0.2">
      <c r="A27" s="4" t="s">
        <v>45</v>
      </c>
      <c r="B27" s="34">
        <v>120000</v>
      </c>
      <c r="C27" s="34">
        <v>1800</v>
      </c>
      <c r="D27" s="34">
        <f t="shared" ref="D27" si="1">+B27+C27</f>
        <v>121800</v>
      </c>
    </row>
    <row r="28" spans="1:4" s="5" customFormat="1" ht="12" customHeight="1" x14ac:dyDescent="0.25">
      <c r="A28" s="6" t="s">
        <v>4</v>
      </c>
      <c r="B28" s="35">
        <f>SUM(B13:B27)</f>
        <v>1365000</v>
      </c>
      <c r="C28" s="35">
        <f>SUM(C13:C27)</f>
        <v>318962.5</v>
      </c>
      <c r="D28" s="35">
        <f>SUM(D13:D27)</f>
        <v>1683962.5</v>
      </c>
    </row>
    <row r="29" spans="1:4" ht="11.25" customHeight="1" x14ac:dyDescent="0.25">
      <c r="A29" s="7"/>
      <c r="C29" s="19"/>
      <c r="D29" s="19"/>
    </row>
    <row r="30" spans="1:4" ht="11.25" customHeight="1" x14ac:dyDescent="0.25">
      <c r="A30" s="7"/>
      <c r="B30" s="19"/>
      <c r="C30" s="19"/>
      <c r="D30" s="19"/>
    </row>
    <row r="31" spans="1:4" ht="11.25" customHeight="1" x14ac:dyDescent="0.25">
      <c r="A31" s="7"/>
      <c r="B31" s="19"/>
      <c r="C31" s="19"/>
      <c r="D31" s="19"/>
    </row>
    <row r="32" spans="1:4" ht="11.25" customHeight="1" x14ac:dyDescent="0.25">
      <c r="A32" s="7"/>
      <c r="B32" s="19"/>
      <c r="C32" s="19"/>
      <c r="D32" s="19"/>
    </row>
    <row r="33" spans="1:4" ht="11.25" customHeight="1" x14ac:dyDescent="0.25">
      <c r="A33" s="7"/>
      <c r="B33" s="19"/>
      <c r="C33" s="19"/>
      <c r="D33" s="19"/>
    </row>
    <row r="34" spans="1:4" ht="11.25" customHeight="1" x14ac:dyDescent="0.25">
      <c r="A34" s="7"/>
      <c r="B34" s="19"/>
      <c r="C34" s="19"/>
      <c r="D34" s="19"/>
    </row>
    <row r="35" spans="1:4" ht="11.25" customHeight="1" x14ac:dyDescent="0.25">
      <c r="A35" s="7"/>
      <c r="B35" s="19"/>
      <c r="C35" s="19"/>
      <c r="D35" s="19"/>
    </row>
    <row r="36" spans="1:4" x14ac:dyDescent="0.25">
      <c r="A36" s="7"/>
      <c r="B36" s="36"/>
      <c r="C36" s="36"/>
      <c r="D36" s="36"/>
    </row>
    <row r="37" spans="1:4" x14ac:dyDescent="0.25">
      <c r="A37" s="7"/>
      <c r="B37" s="36"/>
      <c r="C37" s="36"/>
      <c r="D37" s="36"/>
    </row>
    <row r="38" spans="1:4" x14ac:dyDescent="0.25">
      <c r="A38" s="7"/>
      <c r="B38" s="36"/>
      <c r="C38" s="36"/>
      <c r="D38" s="36"/>
    </row>
    <row r="39" spans="1:4" x14ac:dyDescent="0.25">
      <c r="A39" s="7"/>
      <c r="B39" s="36"/>
      <c r="C39" s="36"/>
      <c r="D39" s="36"/>
    </row>
    <row r="40" spans="1:4" x14ac:dyDescent="0.25">
      <c r="A40" s="7"/>
      <c r="B40" s="36"/>
      <c r="C40" s="36"/>
      <c r="D40" s="36"/>
    </row>
    <row r="41" spans="1:4" x14ac:dyDescent="0.25">
      <c r="A41" s="7"/>
      <c r="B41" s="36"/>
      <c r="C41" s="36"/>
      <c r="D41" s="36"/>
    </row>
    <row r="42" spans="1:4" x14ac:dyDescent="0.25">
      <c r="A42" s="7"/>
      <c r="B42" s="36"/>
      <c r="C42" s="36"/>
      <c r="D42" s="36"/>
    </row>
    <row r="43" spans="1:4" x14ac:dyDescent="0.25">
      <c r="A43" s="7"/>
      <c r="B43" s="36"/>
      <c r="C43" s="36"/>
      <c r="D43" s="36"/>
    </row>
    <row r="44" spans="1:4" x14ac:dyDescent="0.25">
      <c r="A44" s="7"/>
      <c r="B44" s="36"/>
      <c r="C44" s="36"/>
      <c r="D44" s="36"/>
    </row>
    <row r="45" spans="1:4" x14ac:dyDescent="0.25">
      <c r="A45" s="7"/>
      <c r="B45" s="36"/>
      <c r="C45" s="36"/>
      <c r="D45" s="36"/>
    </row>
    <row r="46" spans="1:4" x14ac:dyDescent="0.25">
      <c r="B46" s="36"/>
      <c r="C46" s="36"/>
      <c r="D46" s="36"/>
    </row>
    <row r="47" spans="1:4" x14ac:dyDescent="0.25">
      <c r="B47" s="36"/>
      <c r="C47" s="36"/>
      <c r="D47" s="36"/>
    </row>
    <row r="48" spans="1:4" x14ac:dyDescent="0.25">
      <c r="B48" s="36"/>
      <c r="C48" s="36"/>
      <c r="D48" s="36"/>
    </row>
    <row r="49" spans="2:4" x14ac:dyDescent="0.25">
      <c r="B49" s="36"/>
      <c r="C49" s="36"/>
      <c r="D49" s="36"/>
    </row>
    <row r="50" spans="2:4" x14ac:dyDescent="0.25">
      <c r="B50" s="36"/>
      <c r="C50" s="36"/>
      <c r="D50" s="36"/>
    </row>
    <row r="51" spans="2:4" x14ac:dyDescent="0.25">
      <c r="B51" s="36"/>
      <c r="C51" s="36"/>
      <c r="D51" s="36"/>
    </row>
    <row r="52" spans="2:4" x14ac:dyDescent="0.25">
      <c r="B52" s="36"/>
      <c r="C52" s="36"/>
      <c r="D52" s="36"/>
    </row>
    <row r="53" spans="2:4" x14ac:dyDescent="0.25">
      <c r="B53" s="36"/>
      <c r="C53" s="36"/>
      <c r="D53" s="36"/>
    </row>
    <row r="54" spans="2:4" x14ac:dyDescent="0.25">
      <c r="B54" s="36"/>
      <c r="C54" s="36"/>
      <c r="D54" s="36"/>
    </row>
    <row r="55" spans="2:4" x14ac:dyDescent="0.25">
      <c r="B55" s="36"/>
      <c r="C55" s="36"/>
      <c r="D55" s="36"/>
    </row>
  </sheetData>
  <mergeCells count="8">
    <mergeCell ref="A11:D11"/>
    <mergeCell ref="A1:D1"/>
    <mergeCell ref="A2:D2"/>
    <mergeCell ref="A3:D3"/>
    <mergeCell ref="A4:D4"/>
    <mergeCell ref="A5:D5"/>
    <mergeCell ref="A6:D8"/>
    <mergeCell ref="A9:D9"/>
  </mergeCells>
  <pageMargins left="0.75" right="0.4" top="0.75" bottom="0.75" header="0.5" footer="0.5"/>
  <pageSetup scale="90" firstPageNumber="0"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D45"/>
  <sheetViews>
    <sheetView workbookViewId="0">
      <selection activeCell="F20" sqref="F20"/>
    </sheetView>
  </sheetViews>
  <sheetFormatPr defaultRowHeight="13.2" x14ac:dyDescent="0.25"/>
  <cols>
    <col min="1" max="4" width="25" style="28" customWidth="1"/>
    <col min="5" max="254" width="9.109375" style="1"/>
    <col min="255" max="259" width="18.5546875" style="1" customWidth="1"/>
    <col min="260" max="510" width="9.109375" style="1"/>
    <col min="511" max="515" width="18.5546875" style="1" customWidth="1"/>
    <col min="516" max="766" width="9.109375" style="1"/>
    <col min="767" max="771" width="18.5546875" style="1" customWidth="1"/>
    <col min="772" max="1022" width="9.109375" style="1"/>
    <col min="1023" max="1027" width="18.5546875" style="1" customWidth="1"/>
    <col min="1028" max="1278" width="9.109375" style="1"/>
    <col min="1279" max="1283" width="18.5546875" style="1" customWidth="1"/>
    <col min="1284" max="1534" width="9.109375" style="1"/>
    <col min="1535" max="1539" width="18.5546875" style="1" customWidth="1"/>
    <col min="1540" max="1790" width="9.109375" style="1"/>
    <col min="1791" max="1795" width="18.5546875" style="1" customWidth="1"/>
    <col min="1796" max="2046" width="9.109375" style="1"/>
    <col min="2047" max="2051" width="18.5546875" style="1" customWidth="1"/>
    <col min="2052" max="2302" width="9.109375" style="1"/>
    <col min="2303" max="2307" width="18.5546875" style="1" customWidth="1"/>
    <col min="2308" max="2558" width="9.109375" style="1"/>
    <col min="2559" max="2563" width="18.5546875" style="1" customWidth="1"/>
    <col min="2564" max="2814" width="9.109375" style="1"/>
    <col min="2815" max="2819" width="18.5546875" style="1" customWidth="1"/>
    <col min="2820" max="3070" width="9.109375" style="1"/>
    <col min="3071" max="3075" width="18.5546875" style="1" customWidth="1"/>
    <col min="3076" max="3326" width="9.109375" style="1"/>
    <col min="3327" max="3331" width="18.5546875" style="1" customWidth="1"/>
    <col min="3332" max="3582" width="9.109375" style="1"/>
    <col min="3583" max="3587" width="18.5546875" style="1" customWidth="1"/>
    <col min="3588" max="3838" width="9.109375" style="1"/>
    <col min="3839" max="3843" width="18.5546875" style="1" customWidth="1"/>
    <col min="3844" max="4094" width="9.109375" style="1"/>
    <col min="4095" max="4099" width="18.5546875" style="1" customWidth="1"/>
    <col min="4100" max="4350" width="9.109375" style="1"/>
    <col min="4351" max="4355" width="18.5546875" style="1" customWidth="1"/>
    <col min="4356" max="4606" width="9.109375" style="1"/>
    <col min="4607" max="4611" width="18.5546875" style="1" customWidth="1"/>
    <col min="4612" max="4862" width="9.109375" style="1"/>
    <col min="4863" max="4867" width="18.5546875" style="1" customWidth="1"/>
    <col min="4868" max="5118" width="9.109375" style="1"/>
    <col min="5119" max="5123" width="18.5546875" style="1" customWidth="1"/>
    <col min="5124" max="5374" width="9.109375" style="1"/>
    <col min="5375" max="5379" width="18.5546875" style="1" customWidth="1"/>
    <col min="5380" max="5630" width="9.109375" style="1"/>
    <col min="5631" max="5635" width="18.5546875" style="1" customWidth="1"/>
    <col min="5636" max="5886" width="9.109375" style="1"/>
    <col min="5887" max="5891" width="18.5546875" style="1" customWidth="1"/>
    <col min="5892" max="6142" width="9.109375" style="1"/>
    <col min="6143" max="6147" width="18.5546875" style="1" customWidth="1"/>
    <col min="6148" max="6398" width="9.109375" style="1"/>
    <col min="6399" max="6403" width="18.5546875" style="1" customWidth="1"/>
    <col min="6404" max="6654" width="9.109375" style="1"/>
    <col min="6655" max="6659" width="18.5546875" style="1" customWidth="1"/>
    <col min="6660" max="6910" width="9.109375" style="1"/>
    <col min="6911" max="6915" width="18.5546875" style="1" customWidth="1"/>
    <col min="6916" max="7166" width="9.109375" style="1"/>
    <col min="7167" max="7171" width="18.5546875" style="1" customWidth="1"/>
    <col min="7172" max="7422" width="9.109375" style="1"/>
    <col min="7423" max="7427" width="18.5546875" style="1" customWidth="1"/>
    <col min="7428" max="7678" width="9.109375" style="1"/>
    <col min="7679" max="7683" width="18.5546875" style="1" customWidth="1"/>
    <col min="7684" max="7934" width="9.109375" style="1"/>
    <col min="7935" max="7939" width="18.5546875" style="1" customWidth="1"/>
    <col min="7940" max="8190" width="9.109375" style="1"/>
    <col min="8191" max="8195" width="18.5546875" style="1" customWidth="1"/>
    <col min="8196" max="8446" width="9.109375" style="1"/>
    <col min="8447" max="8451" width="18.5546875" style="1" customWidth="1"/>
    <col min="8452" max="8702" width="9.109375" style="1"/>
    <col min="8703" max="8707" width="18.5546875" style="1" customWidth="1"/>
    <col min="8708" max="8958" width="9.109375" style="1"/>
    <col min="8959" max="8963" width="18.5546875" style="1" customWidth="1"/>
    <col min="8964" max="9214" width="9.109375" style="1"/>
    <col min="9215" max="9219" width="18.5546875" style="1" customWidth="1"/>
    <col min="9220" max="9470" width="9.109375" style="1"/>
    <col min="9471" max="9475" width="18.5546875" style="1" customWidth="1"/>
    <col min="9476" max="9726" width="9.109375" style="1"/>
    <col min="9727" max="9731" width="18.5546875" style="1" customWidth="1"/>
    <col min="9732" max="9982" width="9.109375" style="1"/>
    <col min="9983" max="9987" width="18.5546875" style="1" customWidth="1"/>
    <col min="9988" max="10238" width="9.109375" style="1"/>
    <col min="10239" max="10243" width="18.5546875" style="1" customWidth="1"/>
    <col min="10244" max="10494" width="9.109375" style="1"/>
    <col min="10495" max="10499" width="18.5546875" style="1" customWidth="1"/>
    <col min="10500" max="10750" width="9.109375" style="1"/>
    <col min="10751" max="10755" width="18.5546875" style="1" customWidth="1"/>
    <col min="10756" max="11006" width="9.109375" style="1"/>
    <col min="11007" max="11011" width="18.5546875" style="1" customWidth="1"/>
    <col min="11012" max="11262" width="9.109375" style="1"/>
    <col min="11263" max="11267" width="18.5546875" style="1" customWidth="1"/>
    <col min="11268" max="11518" width="9.109375" style="1"/>
    <col min="11519" max="11523" width="18.5546875" style="1" customWidth="1"/>
    <col min="11524" max="11774" width="9.109375" style="1"/>
    <col min="11775" max="11779" width="18.5546875" style="1" customWidth="1"/>
    <col min="11780" max="12030" width="9.109375" style="1"/>
    <col min="12031" max="12035" width="18.5546875" style="1" customWidth="1"/>
    <col min="12036" max="12286" width="9.109375" style="1"/>
    <col min="12287" max="12291" width="18.5546875" style="1" customWidth="1"/>
    <col min="12292" max="12542" width="9.109375" style="1"/>
    <col min="12543" max="12547" width="18.5546875" style="1" customWidth="1"/>
    <col min="12548" max="12798" width="9.109375" style="1"/>
    <col min="12799" max="12803" width="18.5546875" style="1" customWidth="1"/>
    <col min="12804" max="13054" width="9.109375" style="1"/>
    <col min="13055" max="13059" width="18.5546875" style="1" customWidth="1"/>
    <col min="13060" max="13310" width="9.109375" style="1"/>
    <col min="13311" max="13315" width="18.5546875" style="1" customWidth="1"/>
    <col min="13316" max="13566" width="9.109375" style="1"/>
    <col min="13567" max="13571" width="18.5546875" style="1" customWidth="1"/>
    <col min="13572" max="13822" width="9.109375" style="1"/>
    <col min="13823" max="13827" width="18.5546875" style="1" customWidth="1"/>
    <col min="13828" max="14078" width="9.109375" style="1"/>
    <col min="14079" max="14083" width="18.5546875" style="1" customWidth="1"/>
    <col min="14084" max="14334" width="9.109375" style="1"/>
    <col min="14335" max="14339" width="18.5546875" style="1" customWidth="1"/>
    <col min="14340" max="14590" width="9.109375" style="1"/>
    <col min="14591" max="14595" width="18.5546875" style="1" customWidth="1"/>
    <col min="14596" max="14846" width="9.109375" style="1"/>
    <col min="14847" max="14851" width="18.5546875" style="1" customWidth="1"/>
    <col min="14852" max="15102" width="9.109375" style="1"/>
    <col min="15103" max="15107" width="18.5546875" style="1" customWidth="1"/>
    <col min="15108" max="15358" width="9.109375" style="1"/>
    <col min="15359" max="15363" width="18.5546875" style="1" customWidth="1"/>
    <col min="15364" max="15614" width="9.109375" style="1"/>
    <col min="15615" max="15619" width="18.5546875" style="1" customWidth="1"/>
    <col min="15620" max="15870" width="9.109375" style="1"/>
    <col min="15871" max="15875" width="18.5546875" style="1" customWidth="1"/>
    <col min="15876" max="16126" width="9.109375" style="1"/>
    <col min="16127" max="16131" width="18.5546875" style="1" customWidth="1"/>
    <col min="16132" max="16384" width="9.109375" style="1"/>
  </cols>
  <sheetData>
    <row r="1" spans="1:4" ht="15" customHeight="1" x14ac:dyDescent="0.3">
      <c r="A1" s="69" t="s">
        <v>0</v>
      </c>
      <c r="B1" s="69"/>
      <c r="C1" s="69"/>
      <c r="D1" s="69"/>
    </row>
    <row r="2" spans="1:4" ht="15" customHeight="1" x14ac:dyDescent="0.3">
      <c r="A2" s="69" t="s">
        <v>141</v>
      </c>
      <c r="B2" s="69"/>
      <c r="C2" s="69"/>
      <c r="D2" s="69"/>
    </row>
    <row r="3" spans="1:4" ht="15" customHeight="1" x14ac:dyDescent="0.3">
      <c r="A3" s="70" t="s">
        <v>1</v>
      </c>
      <c r="B3" s="70"/>
      <c r="C3" s="70"/>
      <c r="D3" s="70"/>
    </row>
    <row r="4" spans="1:4" ht="15" customHeight="1" x14ac:dyDescent="0.3">
      <c r="A4" s="70" t="s">
        <v>95</v>
      </c>
      <c r="B4" s="70"/>
      <c r="C4" s="70"/>
      <c r="D4" s="70"/>
    </row>
    <row r="5" spans="1:4" ht="15" customHeight="1" x14ac:dyDescent="0.3">
      <c r="A5" s="70" t="s">
        <v>46</v>
      </c>
      <c r="B5" s="70"/>
      <c r="C5" s="70"/>
      <c r="D5" s="70"/>
    </row>
    <row r="6" spans="1:4" ht="7.5" customHeight="1" x14ac:dyDescent="0.25">
      <c r="A6" s="71" t="s">
        <v>88</v>
      </c>
      <c r="B6" s="71"/>
      <c r="C6" s="71"/>
      <c r="D6" s="71"/>
    </row>
    <row r="7" spans="1:4" ht="15" customHeight="1" x14ac:dyDescent="0.25">
      <c r="A7" s="71"/>
      <c r="B7" s="71"/>
      <c r="C7" s="71"/>
      <c r="D7" s="71"/>
    </row>
    <row r="8" spans="1:4" ht="22.5" customHeight="1" x14ac:dyDescent="0.25">
      <c r="A8" s="74" t="s">
        <v>89</v>
      </c>
      <c r="B8" s="74"/>
      <c r="C8" s="74"/>
      <c r="D8" s="74"/>
    </row>
    <row r="9" spans="1:4" ht="15" customHeight="1" x14ac:dyDescent="0.25">
      <c r="A9" s="72" t="s">
        <v>126</v>
      </c>
      <c r="B9" s="72"/>
      <c r="C9" s="72"/>
      <c r="D9" s="72"/>
    </row>
    <row r="10" spans="1:4" ht="9" customHeight="1" x14ac:dyDescent="0.3">
      <c r="A10" s="2"/>
      <c r="B10" s="2"/>
      <c r="C10" s="2"/>
      <c r="D10" s="2"/>
    </row>
    <row r="11" spans="1:4" ht="9" customHeight="1" x14ac:dyDescent="0.25">
      <c r="A11" s="68"/>
      <c r="B11" s="68"/>
      <c r="C11" s="68"/>
      <c r="D11" s="68"/>
    </row>
    <row r="12" spans="1:4" x14ac:dyDescent="0.25">
      <c r="A12" s="3" t="s">
        <v>47</v>
      </c>
      <c r="B12" s="39" t="s">
        <v>48</v>
      </c>
      <c r="C12" s="39" t="s">
        <v>49</v>
      </c>
      <c r="D12" s="39" t="s">
        <v>50</v>
      </c>
    </row>
    <row r="13" spans="1:4" ht="5.25" customHeight="1" x14ac:dyDescent="0.25"/>
    <row r="14" spans="1:4" s="5" customFormat="1" ht="11.4" x14ac:dyDescent="0.2">
      <c r="A14" s="4" t="s">
        <v>12</v>
      </c>
      <c r="B14" s="34">
        <v>770000</v>
      </c>
      <c r="C14" s="34">
        <f>29956.5+22680</f>
        <v>52636.5</v>
      </c>
      <c r="D14" s="34">
        <f t="shared" ref="D14:D17" si="0">+B14+C14</f>
        <v>822636.5</v>
      </c>
    </row>
    <row r="15" spans="1:4" s="5" customFormat="1" ht="11.4" x14ac:dyDescent="0.2">
      <c r="A15" s="4" t="s">
        <v>13</v>
      </c>
      <c r="B15" s="34">
        <v>785000</v>
      </c>
      <c r="C15" s="34">
        <f>22680+15261.75</f>
        <v>37941.75</v>
      </c>
      <c r="D15" s="34">
        <f t="shared" si="0"/>
        <v>822941.75</v>
      </c>
    </row>
    <row r="16" spans="1:4" s="5" customFormat="1" ht="11.4" x14ac:dyDescent="0.2">
      <c r="A16" s="4" t="s">
        <v>14</v>
      </c>
      <c r="B16" s="34">
        <v>800000</v>
      </c>
      <c r="C16" s="34">
        <f>15261.75+7701.75</f>
        <v>22963.5</v>
      </c>
      <c r="D16" s="34">
        <f t="shared" si="0"/>
        <v>822963.5</v>
      </c>
    </row>
    <row r="17" spans="1:4" s="5" customFormat="1" ht="11.4" x14ac:dyDescent="0.2">
      <c r="A17" s="4" t="s">
        <v>15</v>
      </c>
      <c r="B17" s="34">
        <v>815000</v>
      </c>
      <c r="C17" s="34">
        <v>7701.75</v>
      </c>
      <c r="D17" s="34">
        <f t="shared" si="0"/>
        <v>822701.75</v>
      </c>
    </row>
    <row r="18" spans="1:4" s="5" customFormat="1" ht="12" x14ac:dyDescent="0.25">
      <c r="A18" s="6" t="s">
        <v>4</v>
      </c>
      <c r="B18" s="35">
        <f>SUM(B13:B17)</f>
        <v>3170000</v>
      </c>
      <c r="C18" s="35">
        <f>SUM(C13:C17)</f>
        <v>121243.5</v>
      </c>
      <c r="D18" s="35">
        <f>SUM(D13:D17)</f>
        <v>3291243.5</v>
      </c>
    </row>
    <row r="19" spans="1:4" x14ac:dyDescent="0.25">
      <c r="A19" s="7"/>
      <c r="C19" s="19"/>
      <c r="D19" s="19"/>
    </row>
    <row r="20" spans="1:4" x14ac:dyDescent="0.25">
      <c r="A20" s="7"/>
      <c r="B20" s="19"/>
      <c r="C20" s="19"/>
      <c r="D20" s="19"/>
    </row>
    <row r="21" spans="1:4" x14ac:dyDescent="0.25">
      <c r="A21" s="7"/>
      <c r="B21" s="19"/>
      <c r="C21" s="19"/>
      <c r="D21" s="19"/>
    </row>
    <row r="22" spans="1:4" x14ac:dyDescent="0.25">
      <c r="A22" s="7"/>
      <c r="B22" s="19"/>
      <c r="C22" s="19"/>
      <c r="D22" s="19"/>
    </row>
    <row r="23" spans="1:4" x14ac:dyDescent="0.25">
      <c r="A23" s="7"/>
      <c r="B23" s="19"/>
      <c r="C23" s="19"/>
      <c r="D23" s="19"/>
    </row>
    <row r="24" spans="1:4" x14ac:dyDescent="0.25">
      <c r="A24" s="7"/>
      <c r="B24" s="19"/>
      <c r="C24" s="19"/>
      <c r="D24" s="19"/>
    </row>
    <row r="25" spans="1:4" x14ac:dyDescent="0.25">
      <c r="A25" s="7"/>
      <c r="B25" s="19"/>
      <c r="C25" s="19"/>
      <c r="D25" s="19"/>
    </row>
    <row r="26" spans="1:4" x14ac:dyDescent="0.25">
      <c r="A26" s="7"/>
      <c r="B26" s="36"/>
      <c r="C26" s="36"/>
      <c r="D26" s="36"/>
    </row>
    <row r="27" spans="1:4" x14ac:dyDescent="0.25">
      <c r="A27" s="7"/>
      <c r="B27" s="36"/>
      <c r="C27" s="36"/>
      <c r="D27" s="36"/>
    </row>
    <row r="28" spans="1:4" x14ac:dyDescent="0.25">
      <c r="A28" s="7"/>
      <c r="B28" s="36"/>
      <c r="C28" s="36"/>
      <c r="D28" s="36"/>
    </row>
    <row r="29" spans="1:4" x14ac:dyDescent="0.25">
      <c r="A29" s="7"/>
      <c r="B29" s="36"/>
      <c r="C29" s="36"/>
      <c r="D29" s="36"/>
    </row>
    <row r="30" spans="1:4" x14ac:dyDescent="0.25">
      <c r="A30" s="7"/>
      <c r="B30" s="36"/>
      <c r="C30" s="36"/>
      <c r="D30" s="36"/>
    </row>
    <row r="31" spans="1:4" x14ac:dyDescent="0.25">
      <c r="A31" s="7"/>
      <c r="B31" s="36"/>
      <c r="C31" s="36"/>
      <c r="D31" s="36"/>
    </row>
    <row r="32" spans="1:4" x14ac:dyDescent="0.25">
      <c r="A32" s="7"/>
      <c r="B32" s="36"/>
      <c r="C32" s="36"/>
      <c r="D32" s="36"/>
    </row>
    <row r="33" spans="1:4" x14ac:dyDescent="0.25">
      <c r="A33" s="7"/>
      <c r="B33" s="36"/>
      <c r="C33" s="36"/>
      <c r="D33" s="36"/>
    </row>
    <row r="34" spans="1:4" x14ac:dyDescent="0.25">
      <c r="A34" s="7"/>
      <c r="B34" s="36"/>
      <c r="C34" s="36"/>
      <c r="D34" s="36"/>
    </row>
    <row r="35" spans="1:4" x14ac:dyDescent="0.25">
      <c r="A35" s="7"/>
      <c r="B35" s="36"/>
      <c r="C35" s="36"/>
      <c r="D35" s="36"/>
    </row>
    <row r="36" spans="1:4" x14ac:dyDescent="0.25">
      <c r="B36" s="36"/>
      <c r="C36" s="36"/>
      <c r="D36" s="36"/>
    </row>
    <row r="37" spans="1:4" x14ac:dyDescent="0.25">
      <c r="B37" s="36"/>
      <c r="C37" s="36"/>
      <c r="D37" s="36"/>
    </row>
    <row r="38" spans="1:4" x14ac:dyDescent="0.25">
      <c r="B38" s="36"/>
      <c r="C38" s="36"/>
      <c r="D38" s="36"/>
    </row>
    <row r="39" spans="1:4" x14ac:dyDescent="0.25">
      <c r="B39" s="36"/>
      <c r="C39" s="36"/>
      <c r="D39" s="36"/>
    </row>
    <row r="40" spans="1:4" x14ac:dyDescent="0.25">
      <c r="B40" s="36"/>
      <c r="C40" s="36"/>
      <c r="D40" s="36"/>
    </row>
    <row r="41" spans="1:4" x14ac:dyDescent="0.25">
      <c r="B41" s="36"/>
      <c r="C41" s="36"/>
      <c r="D41" s="36"/>
    </row>
    <row r="42" spans="1:4" x14ac:dyDescent="0.25">
      <c r="B42" s="36"/>
      <c r="C42" s="36"/>
      <c r="D42" s="36"/>
    </row>
    <row r="43" spans="1:4" x14ac:dyDescent="0.25">
      <c r="B43" s="36"/>
      <c r="C43" s="36"/>
      <c r="D43" s="36"/>
    </row>
    <row r="44" spans="1:4" x14ac:dyDescent="0.25">
      <c r="B44" s="36"/>
      <c r="C44" s="36"/>
      <c r="D44" s="36"/>
    </row>
    <row r="45" spans="1:4" x14ac:dyDescent="0.25">
      <c r="B45" s="36"/>
      <c r="C45" s="36"/>
      <c r="D45" s="36"/>
    </row>
  </sheetData>
  <mergeCells count="9">
    <mergeCell ref="A11:D11"/>
    <mergeCell ref="A1:D1"/>
    <mergeCell ref="A2:D2"/>
    <mergeCell ref="A3:D3"/>
    <mergeCell ref="A4:D4"/>
    <mergeCell ref="A5:D5"/>
    <mergeCell ref="A6:D7"/>
    <mergeCell ref="A8:D8"/>
    <mergeCell ref="A9:D9"/>
  </mergeCells>
  <pageMargins left="0.75" right="0.4" top="0.75" bottom="0.75" header="0.5" footer="0.5"/>
  <pageSetup scale="90" firstPageNumber="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H56"/>
  <sheetViews>
    <sheetView workbookViewId="0">
      <selection activeCell="A5" sqref="A5:H5"/>
    </sheetView>
  </sheetViews>
  <sheetFormatPr defaultRowHeight="13.2" x14ac:dyDescent="0.25"/>
  <cols>
    <col min="1" max="1" width="25" style="28" customWidth="1"/>
    <col min="2" max="3" width="13.6640625" style="28" hidden="1" customWidth="1"/>
    <col min="4" max="4" width="25" style="28" customWidth="1"/>
    <col min="5" max="6" width="11.33203125" style="28" hidden="1" customWidth="1"/>
    <col min="7" max="8" width="25" style="28" customWidth="1"/>
    <col min="9" max="258" width="9.109375" style="1"/>
    <col min="259" max="263" width="18.5546875" style="1" customWidth="1"/>
    <col min="264" max="514" width="9.109375" style="1"/>
    <col min="515" max="519" width="18.5546875" style="1" customWidth="1"/>
    <col min="520" max="770" width="9.109375" style="1"/>
    <col min="771" max="775" width="18.5546875" style="1" customWidth="1"/>
    <col min="776" max="1026" width="9.109375" style="1"/>
    <col min="1027" max="1031" width="18.5546875" style="1" customWidth="1"/>
    <col min="1032" max="1282" width="9.109375" style="1"/>
    <col min="1283" max="1287" width="18.5546875" style="1" customWidth="1"/>
    <col min="1288" max="1538" width="9.109375" style="1"/>
    <col min="1539" max="1543" width="18.5546875" style="1" customWidth="1"/>
    <col min="1544" max="1794" width="9.109375" style="1"/>
    <col min="1795" max="1799" width="18.5546875" style="1" customWidth="1"/>
    <col min="1800" max="2050" width="9.109375" style="1"/>
    <col min="2051" max="2055" width="18.5546875" style="1" customWidth="1"/>
    <col min="2056" max="2306" width="9.109375" style="1"/>
    <col min="2307" max="2311" width="18.5546875" style="1" customWidth="1"/>
    <col min="2312" max="2562" width="9.109375" style="1"/>
    <col min="2563" max="2567" width="18.5546875" style="1" customWidth="1"/>
    <col min="2568" max="2818" width="9.109375" style="1"/>
    <col min="2819" max="2823" width="18.5546875" style="1" customWidth="1"/>
    <col min="2824" max="3074" width="9.109375" style="1"/>
    <col min="3075" max="3079" width="18.5546875" style="1" customWidth="1"/>
    <col min="3080" max="3330" width="9.109375" style="1"/>
    <col min="3331" max="3335" width="18.5546875" style="1" customWidth="1"/>
    <col min="3336" max="3586" width="9.109375" style="1"/>
    <col min="3587" max="3591" width="18.5546875" style="1" customWidth="1"/>
    <col min="3592" max="3842" width="9.109375" style="1"/>
    <col min="3843" max="3847" width="18.5546875" style="1" customWidth="1"/>
    <col min="3848" max="4098" width="9.109375" style="1"/>
    <col min="4099" max="4103" width="18.5546875" style="1" customWidth="1"/>
    <col min="4104" max="4354" width="9.109375" style="1"/>
    <col min="4355" max="4359" width="18.5546875" style="1" customWidth="1"/>
    <col min="4360" max="4610" width="9.109375" style="1"/>
    <col min="4611" max="4615" width="18.5546875" style="1" customWidth="1"/>
    <col min="4616" max="4866" width="9.109375" style="1"/>
    <col min="4867" max="4871" width="18.5546875" style="1" customWidth="1"/>
    <col min="4872" max="5122" width="9.109375" style="1"/>
    <col min="5123" max="5127" width="18.5546875" style="1" customWidth="1"/>
    <col min="5128" max="5378" width="9.109375" style="1"/>
    <col min="5379" max="5383" width="18.5546875" style="1" customWidth="1"/>
    <col min="5384" max="5634" width="9.109375" style="1"/>
    <col min="5635" max="5639" width="18.5546875" style="1" customWidth="1"/>
    <col min="5640" max="5890" width="9.109375" style="1"/>
    <col min="5891" max="5895" width="18.5546875" style="1" customWidth="1"/>
    <col min="5896" max="6146" width="9.109375" style="1"/>
    <col min="6147" max="6151" width="18.5546875" style="1" customWidth="1"/>
    <col min="6152" max="6402" width="9.109375" style="1"/>
    <col min="6403" max="6407" width="18.5546875" style="1" customWidth="1"/>
    <col min="6408" max="6658" width="9.109375" style="1"/>
    <col min="6659" max="6663" width="18.5546875" style="1" customWidth="1"/>
    <col min="6664" max="6914" width="9.109375" style="1"/>
    <col min="6915" max="6919" width="18.5546875" style="1" customWidth="1"/>
    <col min="6920" max="7170" width="9.109375" style="1"/>
    <col min="7171" max="7175" width="18.5546875" style="1" customWidth="1"/>
    <col min="7176" max="7426" width="9.109375" style="1"/>
    <col min="7427" max="7431" width="18.5546875" style="1" customWidth="1"/>
    <col min="7432" max="7682" width="9.109375" style="1"/>
    <col min="7683" max="7687" width="18.5546875" style="1" customWidth="1"/>
    <col min="7688" max="7938" width="9.109375" style="1"/>
    <col min="7939" max="7943" width="18.5546875" style="1" customWidth="1"/>
    <col min="7944" max="8194" width="9.109375" style="1"/>
    <col min="8195" max="8199" width="18.5546875" style="1" customWidth="1"/>
    <col min="8200" max="8450" width="9.109375" style="1"/>
    <col min="8451" max="8455" width="18.5546875" style="1" customWidth="1"/>
    <col min="8456" max="8706" width="9.109375" style="1"/>
    <col min="8707" max="8711" width="18.5546875" style="1" customWidth="1"/>
    <col min="8712" max="8962" width="9.109375" style="1"/>
    <col min="8963" max="8967" width="18.5546875" style="1" customWidth="1"/>
    <col min="8968" max="9218" width="9.109375" style="1"/>
    <col min="9219" max="9223" width="18.5546875" style="1" customWidth="1"/>
    <col min="9224" max="9474" width="9.109375" style="1"/>
    <col min="9475" max="9479" width="18.5546875" style="1" customWidth="1"/>
    <col min="9480" max="9730" width="9.109375" style="1"/>
    <col min="9731" max="9735" width="18.5546875" style="1" customWidth="1"/>
    <col min="9736" max="9986" width="9.109375" style="1"/>
    <col min="9987" max="9991" width="18.5546875" style="1" customWidth="1"/>
    <col min="9992" max="10242" width="9.109375" style="1"/>
    <col min="10243" max="10247" width="18.5546875" style="1" customWidth="1"/>
    <col min="10248" max="10498" width="9.109375" style="1"/>
    <col min="10499" max="10503" width="18.5546875" style="1" customWidth="1"/>
    <col min="10504" max="10754" width="9.109375" style="1"/>
    <col min="10755" max="10759" width="18.5546875" style="1" customWidth="1"/>
    <col min="10760" max="11010" width="9.109375" style="1"/>
    <col min="11011" max="11015" width="18.5546875" style="1" customWidth="1"/>
    <col min="11016" max="11266" width="9.109375" style="1"/>
    <col min="11267" max="11271" width="18.5546875" style="1" customWidth="1"/>
    <col min="11272" max="11522" width="9.109375" style="1"/>
    <col min="11523" max="11527" width="18.5546875" style="1" customWidth="1"/>
    <col min="11528" max="11778" width="9.109375" style="1"/>
    <col min="11779" max="11783" width="18.5546875" style="1" customWidth="1"/>
    <col min="11784" max="12034" width="9.109375" style="1"/>
    <col min="12035" max="12039" width="18.5546875" style="1" customWidth="1"/>
    <col min="12040" max="12290" width="9.109375" style="1"/>
    <col min="12291" max="12295" width="18.5546875" style="1" customWidth="1"/>
    <col min="12296" max="12546" width="9.109375" style="1"/>
    <col min="12547" max="12551" width="18.5546875" style="1" customWidth="1"/>
    <col min="12552" max="12802" width="9.109375" style="1"/>
    <col min="12803" max="12807" width="18.5546875" style="1" customWidth="1"/>
    <col min="12808" max="13058" width="9.109375" style="1"/>
    <col min="13059" max="13063" width="18.5546875" style="1" customWidth="1"/>
    <col min="13064" max="13314" width="9.109375" style="1"/>
    <col min="13315" max="13319" width="18.5546875" style="1" customWidth="1"/>
    <col min="13320" max="13570" width="9.109375" style="1"/>
    <col min="13571" max="13575" width="18.5546875" style="1" customWidth="1"/>
    <col min="13576" max="13826" width="9.109375" style="1"/>
    <col min="13827" max="13831" width="18.5546875" style="1" customWidth="1"/>
    <col min="13832" max="14082" width="9.109375" style="1"/>
    <col min="14083" max="14087" width="18.5546875" style="1" customWidth="1"/>
    <col min="14088" max="14338" width="9.109375" style="1"/>
    <col min="14339" max="14343" width="18.5546875" style="1" customWidth="1"/>
    <col min="14344" max="14594" width="9.109375" style="1"/>
    <col min="14595" max="14599" width="18.5546875" style="1" customWidth="1"/>
    <col min="14600" max="14850" width="9.109375" style="1"/>
    <col min="14851" max="14855" width="18.5546875" style="1" customWidth="1"/>
    <col min="14856" max="15106" width="9.109375" style="1"/>
    <col min="15107" max="15111" width="18.5546875" style="1" customWidth="1"/>
    <col min="15112" max="15362" width="9.109375" style="1"/>
    <col min="15363" max="15367" width="18.5546875" style="1" customWidth="1"/>
    <col min="15368" max="15618" width="9.109375" style="1"/>
    <col min="15619" max="15623" width="18.5546875" style="1" customWidth="1"/>
    <col min="15624" max="15874" width="9.109375" style="1"/>
    <col min="15875" max="15879" width="18.5546875" style="1" customWidth="1"/>
    <col min="15880" max="16130" width="9.109375" style="1"/>
    <col min="16131" max="16135" width="18.5546875" style="1" customWidth="1"/>
    <col min="16136" max="16384" width="9.109375" style="1"/>
  </cols>
  <sheetData>
    <row r="1" spans="1:8" ht="15" customHeight="1" x14ac:dyDescent="0.3">
      <c r="A1" s="69" t="s">
        <v>0</v>
      </c>
      <c r="B1" s="69"/>
      <c r="C1" s="69"/>
      <c r="D1" s="69"/>
      <c r="E1" s="69"/>
      <c r="F1" s="69"/>
      <c r="G1" s="69"/>
      <c r="H1" s="69"/>
    </row>
    <row r="2" spans="1:8" ht="15" customHeight="1" x14ac:dyDescent="0.3">
      <c r="A2" s="69" t="s">
        <v>141</v>
      </c>
      <c r="B2" s="69"/>
      <c r="C2" s="69"/>
      <c r="D2" s="69"/>
      <c r="E2" s="69"/>
      <c r="F2" s="69"/>
      <c r="G2" s="69"/>
      <c r="H2" s="69"/>
    </row>
    <row r="3" spans="1:8" ht="15" customHeight="1" x14ac:dyDescent="0.3">
      <c r="A3" s="70" t="s">
        <v>1</v>
      </c>
      <c r="B3" s="70"/>
      <c r="C3" s="70"/>
      <c r="D3" s="70"/>
      <c r="E3" s="70"/>
      <c r="F3" s="70"/>
      <c r="G3" s="70"/>
      <c r="H3" s="70"/>
    </row>
    <row r="4" spans="1:8" ht="15" customHeight="1" x14ac:dyDescent="0.3">
      <c r="A4" s="70" t="s">
        <v>150</v>
      </c>
      <c r="B4" s="70"/>
      <c r="C4" s="70"/>
      <c r="D4" s="70"/>
      <c r="E4" s="70"/>
      <c r="F4" s="70"/>
      <c r="G4" s="70"/>
      <c r="H4" s="70"/>
    </row>
    <row r="5" spans="1:8" ht="15" customHeight="1" x14ac:dyDescent="0.3">
      <c r="A5" s="70" t="s">
        <v>51</v>
      </c>
      <c r="B5" s="70"/>
      <c r="C5" s="70"/>
      <c r="D5" s="70"/>
      <c r="E5" s="70"/>
      <c r="F5" s="70"/>
      <c r="G5" s="70"/>
      <c r="H5" s="70"/>
    </row>
    <row r="6" spans="1:8" ht="8.25" customHeight="1" x14ac:dyDescent="0.25">
      <c r="A6" s="73" t="s">
        <v>52</v>
      </c>
      <c r="B6" s="73"/>
      <c r="C6" s="73"/>
      <c r="D6" s="73"/>
      <c r="E6" s="73"/>
      <c r="F6" s="73"/>
      <c r="G6" s="73"/>
      <c r="H6" s="73"/>
    </row>
    <row r="7" spans="1:8" ht="15" customHeight="1" x14ac:dyDescent="0.25">
      <c r="A7" s="73"/>
      <c r="B7" s="73"/>
      <c r="C7" s="73"/>
      <c r="D7" s="73"/>
      <c r="E7" s="73"/>
      <c r="F7" s="73"/>
      <c r="G7" s="73"/>
      <c r="H7" s="73"/>
    </row>
    <row r="8" spans="1:8" ht="23.25" customHeight="1" x14ac:dyDescent="0.25">
      <c r="A8" s="73"/>
      <c r="B8" s="73"/>
      <c r="C8" s="73"/>
      <c r="D8" s="73"/>
      <c r="E8" s="73"/>
      <c r="F8" s="73"/>
      <c r="G8" s="73"/>
      <c r="H8" s="73"/>
    </row>
    <row r="9" spans="1:8" ht="14.25" customHeight="1" x14ac:dyDescent="0.25">
      <c r="A9" s="72" t="s">
        <v>129</v>
      </c>
      <c r="B9" s="72"/>
      <c r="C9" s="72"/>
      <c r="D9" s="72"/>
      <c r="E9" s="72"/>
      <c r="F9" s="72"/>
      <c r="G9" s="72"/>
      <c r="H9" s="72"/>
    </row>
    <row r="10" spans="1:8" ht="9" customHeight="1" x14ac:dyDescent="0.25">
      <c r="A10" s="41"/>
      <c r="B10" s="41"/>
      <c r="C10" s="41"/>
      <c r="D10" s="41"/>
      <c r="E10" s="41"/>
      <c r="F10" s="41"/>
      <c r="G10" s="41"/>
      <c r="H10" s="41"/>
    </row>
    <row r="11" spans="1:8" ht="9" customHeight="1" x14ac:dyDescent="0.25">
      <c r="A11" s="68"/>
      <c r="B11" s="68"/>
      <c r="C11" s="68"/>
      <c r="D11" s="68"/>
      <c r="E11" s="68"/>
      <c r="F11" s="68"/>
      <c r="G11" s="68"/>
      <c r="H11" s="68"/>
    </row>
    <row r="12" spans="1:8" x14ac:dyDescent="0.25">
      <c r="A12" s="3" t="s">
        <v>47</v>
      </c>
      <c r="B12" s="56" t="s">
        <v>133</v>
      </c>
      <c r="C12" s="56" t="s">
        <v>132</v>
      </c>
      <c r="D12" s="39" t="s">
        <v>48</v>
      </c>
      <c r="E12" s="56" t="s">
        <v>134</v>
      </c>
      <c r="F12" s="56" t="s">
        <v>135</v>
      </c>
      <c r="G12" s="39" t="s">
        <v>49</v>
      </c>
      <c r="H12" s="39" t="s">
        <v>50</v>
      </c>
    </row>
    <row r="13" spans="1:8" ht="8.25" customHeight="1" x14ac:dyDescent="0.25">
      <c r="B13" s="57"/>
      <c r="C13" s="57"/>
      <c r="E13" s="57"/>
      <c r="F13" s="57"/>
    </row>
    <row r="14" spans="1:8" s="5" customFormat="1" ht="12" customHeight="1" x14ac:dyDescent="0.2">
      <c r="A14" s="4" t="s">
        <v>6</v>
      </c>
      <c r="B14" s="58">
        <v>130000</v>
      </c>
      <c r="C14" s="58">
        <v>170000</v>
      </c>
      <c r="D14" s="34">
        <v>300000</v>
      </c>
      <c r="E14" s="58">
        <v>69450</v>
      </c>
      <c r="F14" s="58">
        <v>92700</v>
      </c>
      <c r="G14" s="34">
        <f>83325+78825</f>
        <v>162150</v>
      </c>
      <c r="H14" s="34">
        <f t="shared" ref="H14:H28" si="0">+D14+G14</f>
        <v>462150</v>
      </c>
    </row>
    <row r="15" spans="1:8" s="5" customFormat="1" ht="12" customHeight="1" x14ac:dyDescent="0.2">
      <c r="A15" s="4" t="s">
        <v>7</v>
      </c>
      <c r="B15" s="58">
        <v>130000</v>
      </c>
      <c r="C15" s="58">
        <v>175000</v>
      </c>
      <c r="D15" s="34">
        <v>305000</v>
      </c>
      <c r="E15" s="58">
        <v>65550</v>
      </c>
      <c r="F15" s="58">
        <v>87525</v>
      </c>
      <c r="G15" s="34">
        <f>78825+74250</f>
        <v>153075</v>
      </c>
      <c r="H15" s="34">
        <f t="shared" si="0"/>
        <v>458075</v>
      </c>
    </row>
    <row r="16" spans="1:8" s="5" customFormat="1" ht="12" customHeight="1" x14ac:dyDescent="0.2">
      <c r="A16" s="4" t="s">
        <v>8</v>
      </c>
      <c r="B16" s="58">
        <v>135000</v>
      </c>
      <c r="C16" s="58">
        <v>180000</v>
      </c>
      <c r="D16" s="34">
        <v>315000</v>
      </c>
      <c r="E16" s="58">
        <v>61575</v>
      </c>
      <c r="F16" s="58">
        <v>82200</v>
      </c>
      <c r="G16" s="34">
        <f>74250+69525</f>
        <v>143775</v>
      </c>
      <c r="H16" s="34">
        <f t="shared" si="0"/>
        <v>458775</v>
      </c>
    </row>
    <row r="17" spans="1:8" s="5" customFormat="1" ht="12" customHeight="1" x14ac:dyDescent="0.2">
      <c r="A17" s="4" t="s">
        <v>9</v>
      </c>
      <c r="B17" s="58">
        <v>140000</v>
      </c>
      <c r="C17" s="58">
        <v>185000</v>
      </c>
      <c r="D17" s="34">
        <v>325000</v>
      </c>
      <c r="E17" s="58">
        <v>57450</v>
      </c>
      <c r="F17" s="58">
        <v>76725</v>
      </c>
      <c r="G17" s="34">
        <f>69525+64650</f>
        <v>134175</v>
      </c>
      <c r="H17" s="34">
        <f t="shared" si="0"/>
        <v>459175</v>
      </c>
    </row>
    <row r="18" spans="1:8" s="5" customFormat="1" ht="12" customHeight="1" x14ac:dyDescent="0.2">
      <c r="A18" s="4" t="s">
        <v>10</v>
      </c>
      <c r="B18" s="58">
        <v>145000</v>
      </c>
      <c r="C18" s="58">
        <v>190000</v>
      </c>
      <c r="D18" s="34">
        <v>335000</v>
      </c>
      <c r="E18" s="58">
        <v>53175</v>
      </c>
      <c r="F18" s="58">
        <v>71100</v>
      </c>
      <c r="G18" s="34">
        <f>64650+59625</f>
        <v>124275</v>
      </c>
      <c r="H18" s="34">
        <f t="shared" si="0"/>
        <v>459275</v>
      </c>
    </row>
    <row r="19" spans="1:8" s="5" customFormat="1" ht="12" customHeight="1" x14ac:dyDescent="0.2">
      <c r="A19" s="4" t="s">
        <v>11</v>
      </c>
      <c r="B19" s="58">
        <v>150000</v>
      </c>
      <c r="C19" s="58">
        <v>200000</v>
      </c>
      <c r="D19" s="34">
        <v>350000</v>
      </c>
      <c r="E19" s="58">
        <v>48750</v>
      </c>
      <c r="F19" s="58">
        <v>65250</v>
      </c>
      <c r="G19" s="34">
        <f>59625+54375</f>
        <v>114000</v>
      </c>
      <c r="H19" s="34">
        <f t="shared" si="0"/>
        <v>464000</v>
      </c>
    </row>
    <row r="20" spans="1:8" s="5" customFormat="1" ht="12" customHeight="1" x14ac:dyDescent="0.2">
      <c r="A20" s="4" t="s">
        <v>16</v>
      </c>
      <c r="B20" s="58">
        <v>155000</v>
      </c>
      <c r="C20" s="58">
        <v>205000</v>
      </c>
      <c r="D20" s="34">
        <v>360000</v>
      </c>
      <c r="E20" s="58">
        <v>44175</v>
      </c>
      <c r="F20" s="58">
        <v>59175</v>
      </c>
      <c r="G20" s="34">
        <f>54375+48975</f>
        <v>103350</v>
      </c>
      <c r="H20" s="34">
        <f t="shared" si="0"/>
        <v>463350</v>
      </c>
    </row>
    <row r="21" spans="1:8" s="5" customFormat="1" ht="12" customHeight="1" x14ac:dyDescent="0.2">
      <c r="A21" s="4" t="s">
        <v>22</v>
      </c>
      <c r="B21" s="58">
        <v>155000</v>
      </c>
      <c r="C21" s="58">
        <v>210000</v>
      </c>
      <c r="D21" s="34">
        <v>365000</v>
      </c>
      <c r="E21" s="58">
        <v>39525</v>
      </c>
      <c r="F21" s="58">
        <v>52950</v>
      </c>
      <c r="G21" s="34">
        <f>48975+43500</f>
        <v>92475</v>
      </c>
      <c r="H21" s="34">
        <f t="shared" si="0"/>
        <v>457475</v>
      </c>
    </row>
    <row r="22" spans="1:8" s="5" customFormat="1" ht="12" customHeight="1" x14ac:dyDescent="0.2">
      <c r="A22" s="4" t="s">
        <v>23</v>
      </c>
      <c r="B22" s="58">
        <v>160000</v>
      </c>
      <c r="C22" s="58">
        <v>215000</v>
      </c>
      <c r="D22" s="34">
        <v>375000</v>
      </c>
      <c r="E22" s="58">
        <v>34800</v>
      </c>
      <c r="F22" s="58">
        <v>46575</v>
      </c>
      <c r="G22" s="34">
        <f>43500+37875</f>
        <v>81375</v>
      </c>
      <c r="H22" s="34">
        <f t="shared" si="0"/>
        <v>456375</v>
      </c>
    </row>
    <row r="23" spans="1:8" s="5" customFormat="1" ht="12" customHeight="1" x14ac:dyDescent="0.2">
      <c r="A23" s="4" t="s">
        <v>24</v>
      </c>
      <c r="B23" s="58">
        <v>165000</v>
      </c>
      <c r="C23" s="58">
        <v>225000</v>
      </c>
      <c r="D23" s="34">
        <v>390000</v>
      </c>
      <c r="E23" s="58">
        <v>29925</v>
      </c>
      <c r="F23" s="58">
        <v>39975</v>
      </c>
      <c r="G23" s="34">
        <f>37875+32025</f>
        <v>69900</v>
      </c>
      <c r="H23" s="34">
        <f t="shared" si="0"/>
        <v>459900</v>
      </c>
    </row>
    <row r="24" spans="1:8" s="5" customFormat="1" ht="12" customHeight="1" x14ac:dyDescent="0.2">
      <c r="A24" s="4" t="s">
        <v>25</v>
      </c>
      <c r="B24" s="58">
        <v>170000</v>
      </c>
      <c r="C24" s="58">
        <v>230000</v>
      </c>
      <c r="D24" s="34">
        <v>400000</v>
      </c>
      <c r="E24" s="58">
        <v>24900</v>
      </c>
      <c r="F24" s="58">
        <v>33150</v>
      </c>
      <c r="G24" s="34">
        <f>32025+26025</f>
        <v>58050</v>
      </c>
      <c r="H24" s="34">
        <f t="shared" si="0"/>
        <v>458050</v>
      </c>
    </row>
    <row r="25" spans="1:8" s="5" customFormat="1" ht="12" customHeight="1" x14ac:dyDescent="0.2">
      <c r="A25" s="4" t="s">
        <v>28</v>
      </c>
      <c r="B25" s="58">
        <v>175000</v>
      </c>
      <c r="C25" s="58">
        <v>235000</v>
      </c>
      <c r="D25" s="34">
        <v>410000</v>
      </c>
      <c r="E25" s="58">
        <v>19725</v>
      </c>
      <c r="F25" s="58">
        <v>26175</v>
      </c>
      <c r="G25" s="34">
        <f>26025+19875</f>
        <v>45900</v>
      </c>
      <c r="H25" s="34">
        <f t="shared" si="0"/>
        <v>455900</v>
      </c>
    </row>
    <row r="26" spans="1:8" s="5" customFormat="1" ht="12" customHeight="1" x14ac:dyDescent="0.2">
      <c r="A26" s="4" t="s">
        <v>29</v>
      </c>
      <c r="B26" s="58">
        <v>185000</v>
      </c>
      <c r="C26" s="58">
        <v>245000</v>
      </c>
      <c r="D26" s="34">
        <v>430000</v>
      </c>
      <c r="E26" s="58">
        <v>14325</v>
      </c>
      <c r="F26" s="58">
        <v>18975</v>
      </c>
      <c r="G26" s="34">
        <f>19875+13425</f>
        <v>33300</v>
      </c>
      <c r="H26" s="34">
        <f t="shared" si="0"/>
        <v>463300</v>
      </c>
    </row>
    <row r="27" spans="1:8" s="5" customFormat="1" ht="12" customHeight="1" x14ac:dyDescent="0.2">
      <c r="A27" s="4" t="s">
        <v>45</v>
      </c>
      <c r="B27" s="58">
        <v>190000</v>
      </c>
      <c r="C27" s="58">
        <v>250000</v>
      </c>
      <c r="D27" s="34">
        <v>440000</v>
      </c>
      <c r="E27" s="58">
        <v>8700</v>
      </c>
      <c r="F27" s="58">
        <v>11550</v>
      </c>
      <c r="G27" s="34">
        <f>13425+6825</f>
        <v>20250</v>
      </c>
      <c r="H27" s="34">
        <f t="shared" si="0"/>
        <v>460250</v>
      </c>
    </row>
    <row r="28" spans="1:8" s="5" customFormat="1" ht="12" customHeight="1" x14ac:dyDescent="0.2">
      <c r="A28" s="4" t="s">
        <v>53</v>
      </c>
      <c r="B28" s="58">
        <v>195000</v>
      </c>
      <c r="C28" s="58">
        <v>260000</v>
      </c>
      <c r="D28" s="34">
        <v>455000</v>
      </c>
      <c r="E28" s="58">
        <v>2925</v>
      </c>
      <c r="F28" s="58">
        <v>3900</v>
      </c>
      <c r="G28" s="34">
        <v>6825</v>
      </c>
      <c r="H28" s="34">
        <f t="shared" si="0"/>
        <v>461825</v>
      </c>
    </row>
    <row r="29" spans="1:8" s="5" customFormat="1" ht="12" customHeight="1" x14ac:dyDescent="0.25">
      <c r="A29" s="6" t="s">
        <v>4</v>
      </c>
      <c r="B29" s="65">
        <f t="shared" ref="B29:C29" si="1">SUM(B13:B28)</f>
        <v>2380000</v>
      </c>
      <c r="C29" s="65">
        <f t="shared" si="1"/>
        <v>3175000</v>
      </c>
      <c r="D29" s="35">
        <f>SUM(D13:D28)</f>
        <v>5555000</v>
      </c>
      <c r="E29" s="65">
        <f t="shared" ref="E29" si="2">SUM(E13:E28)</f>
        <v>574950</v>
      </c>
      <c r="F29" s="65">
        <f t="shared" ref="F29" si="3">SUM(F13:F28)</f>
        <v>767925</v>
      </c>
      <c r="G29" s="35">
        <f>SUM(G13:G28)</f>
        <v>1342875</v>
      </c>
      <c r="H29" s="35">
        <f>SUM(H13:H28)</f>
        <v>6897875</v>
      </c>
    </row>
    <row r="30" spans="1:8" ht="11.25" customHeight="1" x14ac:dyDescent="0.25">
      <c r="A30" s="7"/>
      <c r="B30" s="7"/>
      <c r="C30" s="7"/>
      <c r="G30" s="19"/>
      <c r="H30" s="19"/>
    </row>
    <row r="31" spans="1:8" ht="11.25" customHeight="1" x14ac:dyDescent="0.25">
      <c r="A31" s="7"/>
      <c r="B31" s="7"/>
      <c r="C31" s="7"/>
      <c r="D31" s="19"/>
      <c r="E31" s="19"/>
      <c r="F31" s="19"/>
      <c r="G31" s="19"/>
      <c r="H31" s="19"/>
    </row>
    <row r="32" spans="1:8" ht="11.25" customHeight="1" x14ac:dyDescent="0.25">
      <c r="A32" s="7"/>
      <c r="B32" s="7"/>
      <c r="C32" s="7"/>
      <c r="D32" s="19"/>
      <c r="E32" s="19"/>
      <c r="F32" s="19"/>
      <c r="G32" s="19"/>
      <c r="H32" s="19"/>
    </row>
    <row r="33" spans="1:8" ht="11.25" customHeight="1" x14ac:dyDescent="0.25">
      <c r="A33" s="7"/>
      <c r="B33" s="7"/>
      <c r="C33" s="7"/>
      <c r="D33" s="19"/>
      <c r="E33" s="19"/>
      <c r="F33" s="19"/>
      <c r="G33" s="19"/>
      <c r="H33" s="19"/>
    </row>
    <row r="34" spans="1:8" ht="11.25" customHeight="1" x14ac:dyDescent="0.25">
      <c r="A34" s="7"/>
      <c r="B34" s="7"/>
      <c r="C34" s="7"/>
      <c r="D34" s="19"/>
      <c r="E34" s="19"/>
      <c r="F34" s="19"/>
      <c r="G34" s="19"/>
      <c r="H34" s="19"/>
    </row>
    <row r="35" spans="1:8" ht="11.25" customHeight="1" x14ac:dyDescent="0.25">
      <c r="A35" s="7"/>
      <c r="B35" s="7"/>
      <c r="C35" s="7"/>
      <c r="D35" s="19"/>
      <c r="E35" s="19"/>
      <c r="F35" s="19"/>
      <c r="G35" s="19"/>
      <c r="H35" s="19"/>
    </row>
    <row r="36" spans="1:8" ht="11.25" customHeight="1" x14ac:dyDescent="0.25">
      <c r="A36" s="7"/>
      <c r="B36" s="7"/>
      <c r="C36" s="7"/>
      <c r="D36" s="19"/>
      <c r="E36" s="19"/>
      <c r="F36" s="19"/>
      <c r="G36" s="19"/>
      <c r="H36" s="19"/>
    </row>
    <row r="37" spans="1:8" x14ac:dyDescent="0.25">
      <c r="A37" s="7"/>
      <c r="B37" s="7"/>
      <c r="C37" s="7"/>
      <c r="D37" s="36"/>
      <c r="E37" s="36"/>
      <c r="F37" s="36"/>
      <c r="G37" s="36"/>
      <c r="H37" s="36"/>
    </row>
    <row r="38" spans="1:8" x14ac:dyDescent="0.25">
      <c r="A38" s="7"/>
      <c r="B38" s="7"/>
      <c r="C38" s="7"/>
      <c r="D38" s="36"/>
      <c r="E38" s="36"/>
      <c r="F38" s="36"/>
      <c r="G38" s="36"/>
      <c r="H38" s="36"/>
    </row>
    <row r="39" spans="1:8" x14ac:dyDescent="0.25">
      <c r="A39" s="7"/>
      <c r="B39" s="7"/>
      <c r="C39" s="7"/>
      <c r="D39" s="36"/>
      <c r="E39" s="36"/>
      <c r="F39" s="36"/>
      <c r="G39" s="36"/>
      <c r="H39" s="36"/>
    </row>
    <row r="40" spans="1:8" x14ac:dyDescent="0.25">
      <c r="A40" s="7"/>
      <c r="B40" s="7"/>
      <c r="C40" s="7"/>
      <c r="D40" s="36"/>
      <c r="E40" s="36"/>
      <c r="F40" s="36"/>
      <c r="G40" s="36"/>
      <c r="H40" s="36"/>
    </row>
    <row r="41" spans="1:8" x14ac:dyDescent="0.25">
      <c r="A41" s="7"/>
      <c r="B41" s="7"/>
      <c r="C41" s="7"/>
      <c r="D41" s="36"/>
      <c r="E41" s="36"/>
      <c r="F41" s="36"/>
      <c r="G41" s="36"/>
      <c r="H41" s="36"/>
    </row>
    <row r="42" spans="1:8" x14ac:dyDescent="0.25">
      <c r="A42" s="7"/>
      <c r="B42" s="7"/>
      <c r="C42" s="7"/>
      <c r="D42" s="36"/>
      <c r="E42" s="36"/>
      <c r="F42" s="36"/>
      <c r="G42" s="36"/>
      <c r="H42" s="36"/>
    </row>
    <row r="43" spans="1:8" x14ac:dyDescent="0.25">
      <c r="A43" s="7"/>
      <c r="B43" s="7"/>
      <c r="C43" s="7"/>
      <c r="D43" s="36"/>
      <c r="E43" s="36"/>
      <c r="F43" s="36"/>
      <c r="G43" s="36"/>
      <c r="H43" s="36"/>
    </row>
    <row r="44" spans="1:8" x14ac:dyDescent="0.25">
      <c r="A44" s="7"/>
      <c r="B44" s="7"/>
      <c r="C44" s="7"/>
      <c r="D44" s="36"/>
      <c r="E44" s="36"/>
      <c r="F44" s="36"/>
      <c r="G44" s="36"/>
      <c r="H44" s="36"/>
    </row>
    <row r="45" spans="1:8" x14ac:dyDescent="0.25">
      <c r="A45" s="7"/>
      <c r="B45" s="7"/>
      <c r="C45" s="7"/>
      <c r="D45" s="36"/>
      <c r="E45" s="36"/>
      <c r="F45" s="36"/>
      <c r="G45" s="36"/>
      <c r="H45" s="36"/>
    </row>
    <row r="46" spans="1:8" x14ac:dyDescent="0.25">
      <c r="A46" s="7"/>
      <c r="B46" s="7"/>
      <c r="C46" s="7"/>
      <c r="D46" s="36"/>
      <c r="E46" s="36"/>
      <c r="F46" s="36"/>
      <c r="G46" s="36"/>
      <c r="H46" s="36"/>
    </row>
    <row r="47" spans="1:8" x14ac:dyDescent="0.25">
      <c r="D47" s="36"/>
      <c r="E47" s="36"/>
      <c r="F47" s="36"/>
      <c r="G47" s="36"/>
      <c r="H47" s="36"/>
    </row>
    <row r="48" spans="1:8" x14ac:dyDescent="0.25">
      <c r="D48" s="36"/>
      <c r="E48" s="36"/>
      <c r="F48" s="36"/>
      <c r="G48" s="36"/>
      <c r="H48" s="36"/>
    </row>
    <row r="49" spans="4:8" x14ac:dyDescent="0.25">
      <c r="D49" s="36"/>
      <c r="E49" s="36"/>
      <c r="F49" s="36"/>
      <c r="G49" s="36"/>
      <c r="H49" s="36"/>
    </row>
    <row r="50" spans="4:8" x14ac:dyDescent="0.25">
      <c r="D50" s="36"/>
      <c r="E50" s="36"/>
      <c r="F50" s="36"/>
      <c r="G50" s="36"/>
      <c r="H50" s="36"/>
    </row>
    <row r="51" spans="4:8" x14ac:dyDescent="0.25">
      <c r="D51" s="36"/>
      <c r="E51" s="36"/>
      <c r="F51" s="36"/>
      <c r="G51" s="36"/>
      <c r="H51" s="36"/>
    </row>
    <row r="52" spans="4:8" x14ac:dyDescent="0.25">
      <c r="D52" s="36"/>
      <c r="E52" s="36"/>
      <c r="F52" s="36"/>
      <c r="G52" s="36"/>
      <c r="H52" s="36"/>
    </row>
    <row r="53" spans="4:8" x14ac:dyDescent="0.25">
      <c r="D53" s="36"/>
      <c r="E53" s="36"/>
      <c r="F53" s="36"/>
      <c r="G53" s="36"/>
      <c r="H53" s="36"/>
    </row>
    <row r="54" spans="4:8" x14ac:dyDescent="0.25">
      <c r="D54" s="36"/>
      <c r="E54" s="36"/>
      <c r="F54" s="36"/>
      <c r="G54" s="36"/>
      <c r="H54" s="36"/>
    </row>
    <row r="55" spans="4:8" x14ac:dyDescent="0.25">
      <c r="D55" s="36"/>
      <c r="E55" s="36"/>
      <c r="F55" s="36"/>
      <c r="G55" s="36"/>
      <c r="H55" s="36"/>
    </row>
    <row r="56" spans="4:8" x14ac:dyDescent="0.25">
      <c r="D56" s="36"/>
      <c r="E56" s="36"/>
      <c r="F56" s="36"/>
      <c r="G56" s="36"/>
      <c r="H56" s="36"/>
    </row>
  </sheetData>
  <mergeCells count="8">
    <mergeCell ref="A11:H11"/>
    <mergeCell ref="A1:H1"/>
    <mergeCell ref="A2:H2"/>
    <mergeCell ref="A3:H3"/>
    <mergeCell ref="A4:H4"/>
    <mergeCell ref="A5:H5"/>
    <mergeCell ref="A6:H8"/>
    <mergeCell ref="A9:H9"/>
  </mergeCells>
  <pageMargins left="0.75" right="0.4" top="0.75" bottom="0.75" header="0.5" footer="0.5"/>
  <pageSetup scale="90" firstPageNumber="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Obligations</vt:lpstr>
      <vt:lpstr>Bond10(gtua)</vt:lpstr>
      <vt:lpstr>Bond12</vt:lpstr>
      <vt:lpstr>Bond13A</vt:lpstr>
      <vt:lpstr>Bond13B</vt:lpstr>
      <vt:lpstr>Bond15</vt:lpstr>
      <vt:lpstr>Bond16A</vt:lpstr>
      <vt:lpstr>Bond16B</vt:lpstr>
      <vt:lpstr>Bond17A</vt:lpstr>
      <vt:lpstr>Bond17B</vt:lpstr>
      <vt:lpstr>Bond18</vt:lpstr>
      <vt:lpstr>Bond18A</vt:lpstr>
      <vt:lpstr>Bond19</vt:lpstr>
      <vt:lpstr>Bond19ref</vt:lpstr>
      <vt:lpstr>Bond20A</vt:lpstr>
      <vt:lpstr>Bond20ref</vt:lpstr>
      <vt:lpstr>Bond20B</vt:lpstr>
      <vt:lpstr>Bond21A</vt:lpstr>
      <vt:lpstr>Bond21B</vt:lpstr>
      <vt:lpstr>Bond22A</vt:lpstr>
      <vt:lpstr>Bond22B</vt:lpstr>
      <vt:lpstr>Budgeted</vt:lpstr>
      <vt:lpstr>Obligated</vt:lpstr>
      <vt:lpstr>Bond13B!Print_Titles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Alsabbagh, Laurie</dc:creator>
  <cp:lastModifiedBy>Taylor, Zera</cp:lastModifiedBy>
  <cp:lastPrinted>2022-12-31T01:27:35Z</cp:lastPrinted>
  <dcterms:created xsi:type="dcterms:W3CDTF">2015-11-20T15:57:15Z</dcterms:created>
  <dcterms:modified xsi:type="dcterms:W3CDTF">2024-03-22T18:18:05Z</dcterms:modified>
</cp:coreProperties>
</file>