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howInkAnnotation="0"/>
  <mc:AlternateContent xmlns:mc="http://schemas.openxmlformats.org/markup-compatibility/2006">
    <mc:Choice Requires="x15">
      <x15ac:absPath xmlns:x15ac="http://schemas.microsoft.com/office/spreadsheetml/2010/11/ac" url="S:\Accounting\STARS Transparency\Debt Obligations FY2025\"/>
    </mc:Choice>
  </mc:AlternateContent>
  <xr:revisionPtr revIDLastSave="0" documentId="13_ncr:1_{645701EE-E7E7-4D81-AFCA-94D9099F4B4B}" xr6:coauthVersionLast="47" xr6:coauthVersionMax="47" xr10:uidLastSave="{00000000-0000-0000-0000-000000000000}"/>
  <bookViews>
    <workbookView xWindow="14760" yWindow="-16320" windowWidth="29040" windowHeight="15840" tabRatio="988" firstSheet="2" activeTab="26" xr2:uid="{C21EC7D9-7777-459A-872E-402378968C15}"/>
  </bookViews>
  <sheets>
    <sheet name="Obligations" sheetId="22" state="hidden" r:id="rId1"/>
    <sheet name="2010(gtua)" sheetId="11" r:id="rId2"/>
    <sheet name="2012" sheetId="8" r:id="rId3"/>
    <sheet name="2013A" sheetId="5" r:id="rId4"/>
    <sheet name="2013B" sheetId="9" r:id="rId5"/>
    <sheet name="2015" sheetId="10" r:id="rId6"/>
    <sheet name="2016A" sheetId="14" r:id="rId7"/>
    <sheet name="2016B" sheetId="15" r:id="rId8"/>
    <sheet name="2017A" sheetId="18" r:id="rId9"/>
    <sheet name="2017B" sheetId="19" r:id="rId10"/>
    <sheet name="2018" sheetId="20" r:id="rId11"/>
    <sheet name="2018A" sheetId="21" r:id="rId12"/>
    <sheet name="2019" sheetId="23" r:id="rId13"/>
    <sheet name="2019ref" sheetId="25" r:id="rId14"/>
    <sheet name="2020ref" sheetId="26" r:id="rId15"/>
    <sheet name="2020A" sheetId="27" r:id="rId16"/>
    <sheet name="2020B" sheetId="28" r:id="rId17"/>
    <sheet name="2021A" sheetId="29" r:id="rId18"/>
    <sheet name="2021B" sheetId="30" r:id="rId19"/>
    <sheet name="2022A" sheetId="31" r:id="rId20"/>
    <sheet name="2022B" sheetId="32" r:id="rId21"/>
    <sheet name="2022C" sheetId="33" r:id="rId22"/>
    <sheet name="2023" sheetId="34" r:id="rId23"/>
    <sheet name="2024" sheetId="35" r:id="rId24"/>
    <sheet name="2024Tax" sheetId="36" r:id="rId25"/>
    <sheet name="Budgeted" sheetId="16" r:id="rId26"/>
    <sheet name="Obligated" sheetId="17" r:id="rId27"/>
  </sheets>
  <definedNames>
    <definedName name="cemeterold" localSheetId="1">#REF!</definedName>
    <definedName name="cemeterold" localSheetId="2">#REF!</definedName>
    <definedName name="cemeterold" localSheetId="3">#REF!</definedName>
    <definedName name="cemeterold" localSheetId="4">#REF!</definedName>
    <definedName name="cemeterold" localSheetId="5">#REF!</definedName>
    <definedName name="cemeterold" localSheetId="6">#REF!</definedName>
    <definedName name="cemeterold" localSheetId="7">#REF!</definedName>
    <definedName name="cemeterold" localSheetId="8">#REF!</definedName>
    <definedName name="cemeterold" localSheetId="9">#REF!</definedName>
    <definedName name="cemeterold" localSheetId="10">#REF!</definedName>
    <definedName name="cemeterold" localSheetId="11">#REF!</definedName>
    <definedName name="cemeterold" localSheetId="12">#REF!</definedName>
    <definedName name="cemeterold" localSheetId="13">#REF!</definedName>
    <definedName name="cemeterold" localSheetId="15">#REF!</definedName>
    <definedName name="cemeterold" localSheetId="16">#REF!</definedName>
    <definedName name="cemeterold" localSheetId="14">#REF!</definedName>
    <definedName name="cemeterold" localSheetId="17">#REF!</definedName>
    <definedName name="cemeterold" localSheetId="18">#REF!</definedName>
    <definedName name="cemeterold" localSheetId="19">#REF!</definedName>
    <definedName name="cemeterold" localSheetId="20">#REF!</definedName>
    <definedName name="cemeterold" localSheetId="21">#REF!</definedName>
    <definedName name="cemeterold" localSheetId="22">#REF!</definedName>
    <definedName name="cemeterold" localSheetId="23">#REF!</definedName>
    <definedName name="cemeterold" localSheetId="24">#REF!</definedName>
    <definedName name="cemeterold" localSheetId="25">#REF!</definedName>
    <definedName name="cemeterold">#REF!</definedName>
    <definedName name="ExpenditureTotals" localSheetId="1">#REF!</definedName>
    <definedName name="ExpenditureTotals" localSheetId="2">#REF!</definedName>
    <definedName name="ExpenditureTotals" localSheetId="3">#REF!</definedName>
    <definedName name="ExpenditureTotals" localSheetId="4">#REF!</definedName>
    <definedName name="ExpenditureTotals" localSheetId="5">#REF!</definedName>
    <definedName name="ExpenditureTotals" localSheetId="6">#REF!</definedName>
    <definedName name="ExpenditureTotals" localSheetId="7">#REF!</definedName>
    <definedName name="ExpenditureTotals" localSheetId="8">#REF!</definedName>
    <definedName name="ExpenditureTotals" localSheetId="9">#REF!</definedName>
    <definedName name="ExpenditureTotals" localSheetId="10">#REF!</definedName>
    <definedName name="ExpenditureTotals" localSheetId="11">#REF!</definedName>
    <definedName name="ExpenditureTotals" localSheetId="12">#REF!</definedName>
    <definedName name="ExpenditureTotals" localSheetId="13">#REF!</definedName>
    <definedName name="ExpenditureTotals" localSheetId="15">#REF!</definedName>
    <definedName name="ExpenditureTotals" localSheetId="16">#REF!</definedName>
    <definedName name="ExpenditureTotals" localSheetId="14">#REF!</definedName>
    <definedName name="ExpenditureTotals" localSheetId="17">#REF!</definedName>
    <definedName name="ExpenditureTotals" localSheetId="18">#REF!</definedName>
    <definedName name="ExpenditureTotals" localSheetId="19">#REF!</definedName>
    <definedName name="ExpenditureTotals" localSheetId="20">#REF!</definedName>
    <definedName name="ExpenditureTotals" localSheetId="21">#REF!</definedName>
    <definedName name="ExpenditureTotals" localSheetId="22">#REF!</definedName>
    <definedName name="ExpenditureTotals" localSheetId="23">#REF!</definedName>
    <definedName name="ExpenditureTotals" localSheetId="24">#REF!</definedName>
    <definedName name="ExpenditureTotals" localSheetId="25">#REF!</definedName>
    <definedName name="ExpenditureTotals">#REF!</definedName>
    <definedName name="_xlnm.Print_Area" localSheetId="8">#REF!</definedName>
    <definedName name="_xlnm.Print_Area" localSheetId="9">#REF!</definedName>
    <definedName name="_xlnm.Print_Area" localSheetId="10">#REF!</definedName>
    <definedName name="_xlnm.Print_Area" localSheetId="11">#REF!</definedName>
    <definedName name="_xlnm.Print_Area" localSheetId="12">#REF!</definedName>
    <definedName name="_xlnm.Print_Area" localSheetId="13">#REF!</definedName>
    <definedName name="_xlnm.Print_Area" localSheetId="15">#REF!</definedName>
    <definedName name="_xlnm.Print_Area" localSheetId="16">#REF!</definedName>
    <definedName name="_xlnm.Print_Area" localSheetId="14">#REF!</definedName>
    <definedName name="_xlnm.Print_Area" localSheetId="17">#REF!</definedName>
    <definedName name="_xlnm.Print_Area" localSheetId="18">#REF!</definedName>
    <definedName name="_xlnm.Print_Area" localSheetId="19">#REF!</definedName>
    <definedName name="_xlnm.Print_Area" localSheetId="20">#REF!</definedName>
    <definedName name="_xlnm.Print_Area" localSheetId="21">#REF!</definedName>
    <definedName name="_xlnm.Print_Area" localSheetId="22">#REF!</definedName>
    <definedName name="_xlnm.Print_Area" localSheetId="23">#REF!</definedName>
    <definedName name="_xlnm.Print_Area" localSheetId="24">#REF!</definedName>
    <definedName name="_xlnm.Print_Area">#REF!</definedName>
    <definedName name="_xlnm.Print_Titles" localSheetId="4">'2013B'!$4:$4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5" i="16" l="1"/>
  <c r="F24" i="16"/>
  <c r="F23" i="16"/>
  <c r="F22" i="16"/>
  <c r="F21" i="16"/>
  <c r="F20" i="16"/>
  <c r="F19" i="16"/>
  <c r="F18" i="16"/>
  <c r="F17" i="16"/>
  <c r="F16" i="16"/>
  <c r="F15" i="16"/>
  <c r="F14" i="16"/>
  <c r="F13" i="16"/>
  <c r="F12" i="16"/>
  <c r="F11" i="16"/>
  <c r="F10" i="16"/>
  <c r="F9" i="16"/>
  <c r="F8" i="16"/>
  <c r="E25" i="16"/>
  <c r="E24" i="16"/>
  <c r="E23" i="16"/>
  <c r="E22" i="16"/>
  <c r="E21" i="16"/>
  <c r="E20" i="16"/>
  <c r="E19" i="16"/>
  <c r="E18" i="16"/>
  <c r="E17" i="16"/>
  <c r="E16" i="16"/>
  <c r="E15" i="16"/>
  <c r="E14" i="16"/>
  <c r="E13" i="16"/>
  <c r="E12" i="16"/>
  <c r="E11" i="16"/>
  <c r="E10" i="16"/>
  <c r="E9" i="16"/>
  <c r="E8" i="16"/>
  <c r="C25" i="16" l="1"/>
  <c r="C24" i="16"/>
  <c r="C23" i="16"/>
  <c r="C22" i="16"/>
  <c r="C21" i="16"/>
  <c r="C20" i="16"/>
  <c r="C19" i="16"/>
  <c r="C18" i="16"/>
  <c r="C17" i="16"/>
  <c r="C16" i="16"/>
  <c r="C15" i="16"/>
  <c r="C14" i="16"/>
  <c r="C13" i="16"/>
  <c r="C12" i="16"/>
  <c r="C11" i="16"/>
  <c r="C10" i="16"/>
  <c r="C9" i="16"/>
  <c r="C8" i="16"/>
  <c r="B25" i="16"/>
  <c r="B24" i="16"/>
  <c r="B23" i="16"/>
  <c r="B22" i="16"/>
  <c r="B21" i="16"/>
  <c r="B20" i="16"/>
  <c r="B19" i="16"/>
  <c r="B18" i="16"/>
  <c r="B17" i="16"/>
  <c r="B16" i="16"/>
  <c r="B15" i="16"/>
  <c r="B14" i="16"/>
  <c r="B13" i="16"/>
  <c r="B12" i="16"/>
  <c r="B11" i="16"/>
  <c r="B10" i="16"/>
  <c r="B9" i="16"/>
  <c r="B8" i="16"/>
  <c r="C25" i="17" l="1"/>
  <c r="C24" i="17"/>
  <c r="C23" i="17"/>
  <c r="C22" i="17"/>
  <c r="C21" i="17"/>
  <c r="C20" i="17"/>
  <c r="C19" i="17"/>
  <c r="C18" i="17"/>
  <c r="C17" i="17"/>
  <c r="C16" i="17"/>
  <c r="C15" i="17"/>
  <c r="C14" i="17"/>
  <c r="C13" i="17"/>
  <c r="C12" i="17"/>
  <c r="C11" i="17"/>
  <c r="C10" i="17"/>
  <c r="C9" i="17"/>
  <c r="C8" i="17"/>
  <c r="B19" i="17"/>
  <c r="B25" i="17"/>
  <c r="B24" i="17"/>
  <c r="B23" i="17"/>
  <c r="B22" i="17"/>
  <c r="B21" i="17"/>
  <c r="B20" i="17"/>
  <c r="B18" i="17"/>
  <c r="B17" i="17"/>
  <c r="B16" i="17"/>
  <c r="B15" i="17"/>
  <c r="B14" i="17"/>
  <c r="B13" i="17"/>
  <c r="B12" i="17"/>
  <c r="B11" i="17"/>
  <c r="B10" i="17"/>
  <c r="B9" i="17"/>
  <c r="B8" i="17"/>
  <c r="C21" i="36"/>
  <c r="D20" i="36"/>
  <c r="D21" i="36" s="1"/>
  <c r="B21" i="36"/>
  <c r="D19" i="36"/>
  <c r="D18" i="36"/>
  <c r="D17" i="36"/>
  <c r="D16" i="36"/>
  <c r="D15" i="36"/>
  <c r="E26" i="16"/>
  <c r="E27" i="16"/>
  <c r="E28" i="16"/>
  <c r="E29" i="16"/>
  <c r="E30" i="16"/>
  <c r="E31" i="16"/>
  <c r="E32" i="16"/>
  <c r="E33" i="16"/>
  <c r="E34" i="16"/>
  <c r="E35" i="16"/>
  <c r="E36" i="16"/>
  <c r="E37" i="16"/>
  <c r="H14" i="31"/>
  <c r="D15" i="31"/>
  <c r="D16" i="31"/>
  <c r="D17" i="31"/>
  <c r="D18" i="31"/>
  <c r="D19" i="31"/>
  <c r="D20" i="31"/>
  <c r="D21" i="31"/>
  <c r="D22" i="31"/>
  <c r="D23" i="31"/>
  <c r="D24" i="31"/>
  <c r="D25" i="31"/>
  <c r="D26" i="31"/>
  <c r="D27" i="31"/>
  <c r="D28" i="31"/>
  <c r="D29" i="31"/>
  <c r="D30" i="31"/>
  <c r="D31" i="31"/>
  <c r="D14" i="31"/>
  <c r="G15" i="31"/>
  <c r="G16" i="31"/>
  <c r="G17" i="31"/>
  <c r="G18" i="31"/>
  <c r="G19" i="31"/>
  <c r="G20" i="31"/>
  <c r="G21" i="31"/>
  <c r="G22" i="31"/>
  <c r="G23" i="31"/>
  <c r="G24" i="31"/>
  <c r="G25" i="31"/>
  <c r="G26" i="31"/>
  <c r="G27" i="31"/>
  <c r="G28" i="31"/>
  <c r="G29" i="31"/>
  <c r="G30" i="31"/>
  <c r="G31" i="31"/>
  <c r="G14" i="31"/>
  <c r="D14" i="36" l="1"/>
  <c r="H14" i="35"/>
  <c r="C37" i="17"/>
  <c r="C36" i="17"/>
  <c r="E71" i="17" s="1"/>
  <c r="C35" i="17"/>
  <c r="E70" i="17" s="1"/>
  <c r="C34" i="17"/>
  <c r="E69" i="17" s="1"/>
  <c r="C33" i="17"/>
  <c r="D33" i="17" s="1"/>
  <c r="C32" i="17"/>
  <c r="E67" i="17" s="1"/>
  <c r="C31" i="17"/>
  <c r="E66" i="17" s="1"/>
  <c r="C30" i="17"/>
  <c r="C29" i="17"/>
  <c r="C28" i="17"/>
  <c r="E63" i="17" s="1"/>
  <c r="C27" i="17"/>
  <c r="E62" i="17"/>
  <c r="E72" i="17"/>
  <c r="D67" i="17"/>
  <c r="D69" i="17"/>
  <c r="B37" i="17"/>
  <c r="D37" i="17" s="1"/>
  <c r="B36" i="17"/>
  <c r="D71" i="17" s="1"/>
  <c r="B35" i="17"/>
  <c r="B34" i="17"/>
  <c r="B33" i="17"/>
  <c r="D68" i="17" s="1"/>
  <c r="B32" i="17"/>
  <c r="B31" i="17"/>
  <c r="D31" i="17" s="1"/>
  <c r="B30" i="17"/>
  <c r="D65" i="17" s="1"/>
  <c r="B29" i="17"/>
  <c r="D64" i="17" s="1"/>
  <c r="B28" i="17"/>
  <c r="D63" i="17" s="1"/>
  <c r="B27" i="17"/>
  <c r="D62" i="17" s="1"/>
  <c r="G27" i="17"/>
  <c r="G28" i="17"/>
  <c r="G29" i="17"/>
  <c r="G30" i="17"/>
  <c r="G31" i="17"/>
  <c r="G32" i="17"/>
  <c r="G33" i="17"/>
  <c r="G34" i="17"/>
  <c r="G35" i="17"/>
  <c r="G36" i="17"/>
  <c r="G37" i="17"/>
  <c r="C26" i="17"/>
  <c r="B26" i="17"/>
  <c r="G15" i="35"/>
  <c r="G16" i="35"/>
  <c r="G17" i="35"/>
  <c r="G18" i="35"/>
  <c r="G19" i="35"/>
  <c r="G20" i="35"/>
  <c r="G21" i="35"/>
  <c r="G22" i="35"/>
  <c r="G23" i="35"/>
  <c r="G24" i="35"/>
  <c r="G25" i="35"/>
  <c r="G26" i="35"/>
  <c r="G27" i="35"/>
  <c r="G28" i="35"/>
  <c r="G29" i="35"/>
  <c r="G30" i="35"/>
  <c r="G31" i="35"/>
  <c r="G32" i="35"/>
  <c r="G33" i="35"/>
  <c r="G34" i="35"/>
  <c r="G35" i="35"/>
  <c r="G36" i="35"/>
  <c r="G37" i="35"/>
  <c r="G38" i="35"/>
  <c r="G39" i="35"/>
  <c r="G40" i="35"/>
  <c r="G41" i="35"/>
  <c r="G42" i="35"/>
  <c r="G43" i="35"/>
  <c r="G14" i="35"/>
  <c r="D15" i="35"/>
  <c r="D16" i="35"/>
  <c r="D17" i="35"/>
  <c r="D18" i="35"/>
  <c r="D19" i="35"/>
  <c r="D20" i="35"/>
  <c r="D21" i="35"/>
  <c r="D22" i="35"/>
  <c r="D23" i="35"/>
  <c r="D24" i="35"/>
  <c r="D25" i="35"/>
  <c r="D26" i="35"/>
  <c r="D27" i="35"/>
  <c r="D28" i="35"/>
  <c r="D29" i="35"/>
  <c r="D30" i="35"/>
  <c r="D31" i="35"/>
  <c r="D32" i="35"/>
  <c r="D33" i="35"/>
  <c r="D34" i="35"/>
  <c r="D35" i="35"/>
  <c r="D36" i="35"/>
  <c r="D37" i="35"/>
  <c r="D38" i="35"/>
  <c r="D39" i="35"/>
  <c r="D40" i="35"/>
  <c r="D41" i="35"/>
  <c r="D42" i="35"/>
  <c r="D43" i="35"/>
  <c r="D14" i="35"/>
  <c r="F44" i="35"/>
  <c r="C44" i="35"/>
  <c r="E44" i="35"/>
  <c r="B44" i="35"/>
  <c r="D32" i="17" l="1"/>
  <c r="F67" i="17"/>
  <c r="D66" i="17"/>
  <c r="D35" i="17"/>
  <c r="F63" i="17"/>
  <c r="E68" i="17"/>
  <c r="F68" i="17" s="1"/>
  <c r="D34" i="17"/>
  <c r="D72" i="17"/>
  <c r="F72" i="17" s="1"/>
  <c r="D27" i="17"/>
  <c r="D28" i="17"/>
  <c r="F71" i="17"/>
  <c r="D70" i="17"/>
  <c r="F70" i="17" s="1"/>
  <c r="D29" i="17"/>
  <c r="D30" i="17"/>
  <c r="F66" i="17"/>
  <c r="F69" i="17"/>
  <c r="B38" i="17"/>
  <c r="D36" i="17"/>
  <c r="E65" i="17"/>
  <c r="F65" i="17" s="1"/>
  <c r="E64" i="17"/>
  <c r="F64" i="17" s="1"/>
  <c r="C38" i="17"/>
  <c r="F62" i="17"/>
  <c r="D27" i="16"/>
  <c r="D28" i="16"/>
  <c r="D29" i="16"/>
  <c r="D30" i="16"/>
  <c r="D31" i="16"/>
  <c r="D32" i="16"/>
  <c r="D33" i="16"/>
  <c r="D34" i="16"/>
  <c r="D35" i="16"/>
  <c r="D36" i="16"/>
  <c r="D37" i="16"/>
  <c r="D63" i="16"/>
  <c r="D64" i="16"/>
  <c r="D65" i="16"/>
  <c r="D66" i="16"/>
  <c r="D67" i="16"/>
  <c r="D68" i="16"/>
  <c r="D69" i="16"/>
  <c r="D70" i="16"/>
  <c r="D71" i="16"/>
  <c r="D72" i="16"/>
  <c r="D62" i="16"/>
  <c r="D61" i="16"/>
  <c r="D44" i="16"/>
  <c r="D43" i="16"/>
  <c r="F28" i="16"/>
  <c r="E63" i="16" s="1"/>
  <c r="F29" i="16"/>
  <c r="E64" i="16" s="1"/>
  <c r="F30" i="16"/>
  <c r="E65" i="16" s="1"/>
  <c r="F31" i="16"/>
  <c r="E66" i="16" s="1"/>
  <c r="F32" i="16"/>
  <c r="E67" i="16" s="1"/>
  <c r="F33" i="16"/>
  <c r="E68" i="16" s="1"/>
  <c r="F34" i="16"/>
  <c r="E69" i="16" s="1"/>
  <c r="F35" i="16"/>
  <c r="E70" i="16" s="1"/>
  <c r="F36" i="16"/>
  <c r="E71" i="16" s="1"/>
  <c r="F37" i="16"/>
  <c r="E72" i="16" s="1"/>
  <c r="F27" i="16"/>
  <c r="E62" i="16" s="1"/>
  <c r="F26" i="16"/>
  <c r="E61" i="16" s="1"/>
  <c r="H15" i="35"/>
  <c r="H16" i="35"/>
  <c r="H17" i="35"/>
  <c r="H18" i="35"/>
  <c r="H19" i="35"/>
  <c r="H20" i="35"/>
  <c r="H21" i="35"/>
  <c r="H22" i="35"/>
  <c r="H23" i="35"/>
  <c r="H24" i="35"/>
  <c r="H25" i="35"/>
  <c r="H26" i="35"/>
  <c r="H27" i="35"/>
  <c r="H28" i="35"/>
  <c r="H29" i="35"/>
  <c r="H30" i="35"/>
  <c r="H31" i="35"/>
  <c r="H32" i="35"/>
  <c r="H33" i="35"/>
  <c r="H34" i="35"/>
  <c r="H35" i="35"/>
  <c r="H36" i="35"/>
  <c r="H37" i="35"/>
  <c r="H38" i="35"/>
  <c r="H39" i="35"/>
  <c r="H40" i="35"/>
  <c r="H41" i="35"/>
  <c r="H42" i="35"/>
  <c r="H43" i="35"/>
  <c r="G44" i="35"/>
  <c r="D44" i="35"/>
  <c r="E61" i="17"/>
  <c r="G26" i="17"/>
  <c r="D26" i="17"/>
  <c r="D26" i="16"/>
  <c r="F67" i="16" l="1"/>
  <c r="F62" i="16"/>
  <c r="F65" i="16"/>
  <c r="F69" i="16"/>
  <c r="F66" i="16"/>
  <c r="F72" i="16"/>
  <c r="F64" i="16"/>
  <c r="F71" i="16"/>
  <c r="F63" i="16"/>
  <c r="F68" i="16"/>
  <c r="F70" i="16"/>
  <c r="G36" i="16"/>
  <c r="G28" i="16"/>
  <c r="D61" i="17"/>
  <c r="F61" i="17" s="1"/>
  <c r="D49" i="16"/>
  <c r="G31" i="16"/>
  <c r="G32" i="16"/>
  <c r="G35" i="16"/>
  <c r="G27" i="16"/>
  <c r="G30" i="16"/>
  <c r="G37" i="16"/>
  <c r="G29" i="16"/>
  <c r="B38" i="16"/>
  <c r="G34" i="16"/>
  <c r="G33" i="16"/>
  <c r="E38" i="16"/>
  <c r="G26" i="16"/>
  <c r="H44" i="35"/>
  <c r="F61" i="16"/>
  <c r="B22" i="33"/>
  <c r="C22" i="33"/>
  <c r="B33" i="34"/>
  <c r="C33" i="34"/>
  <c r="D33" i="34"/>
  <c r="D21" i="33"/>
  <c r="D20" i="33"/>
  <c r="D19" i="33"/>
  <c r="D18" i="33"/>
  <c r="D17" i="33"/>
  <c r="D22" i="33" s="1"/>
  <c r="D16" i="33"/>
  <c r="D15" i="33"/>
  <c r="D14" i="33"/>
  <c r="H14" i="5"/>
  <c r="D15" i="5"/>
  <c r="E31" i="29" l="1"/>
  <c r="F31" i="29"/>
  <c r="B31" i="29"/>
  <c r="C31" i="29"/>
  <c r="E30" i="28"/>
  <c r="F30" i="28"/>
  <c r="B30" i="28"/>
  <c r="C30" i="28"/>
  <c r="E27" i="18"/>
  <c r="F27" i="18"/>
  <c r="B27" i="18"/>
  <c r="C27" i="18"/>
  <c r="E15" i="5"/>
  <c r="F15" i="5"/>
  <c r="B15" i="5"/>
  <c r="C15" i="5"/>
  <c r="E60" i="17" l="1"/>
  <c r="D60" i="17"/>
  <c r="C32" i="32"/>
  <c r="B32" i="32"/>
  <c r="D31" i="32"/>
  <c r="D30" i="32"/>
  <c r="D29" i="32"/>
  <c r="D28" i="32"/>
  <c r="D27" i="32"/>
  <c r="D26" i="32"/>
  <c r="D25" i="32"/>
  <c r="D24" i="32"/>
  <c r="D23" i="32"/>
  <c r="D22" i="32"/>
  <c r="D21" i="32"/>
  <c r="D20" i="32"/>
  <c r="D19" i="32"/>
  <c r="D18" i="32"/>
  <c r="D17" i="32"/>
  <c r="D16" i="32"/>
  <c r="D15" i="32"/>
  <c r="D14" i="32"/>
  <c r="G24" i="17"/>
  <c r="G25" i="17"/>
  <c r="D60" i="16" l="1"/>
  <c r="D25" i="16"/>
  <c r="E60" i="16"/>
  <c r="D25" i="17"/>
  <c r="D32" i="32"/>
  <c r="F60" i="17"/>
  <c r="G25" i="16"/>
  <c r="F60" i="16" l="1"/>
  <c r="D32" i="31"/>
  <c r="H31" i="31"/>
  <c r="H30" i="31"/>
  <c r="H29" i="31"/>
  <c r="H28" i="31"/>
  <c r="H27" i="31"/>
  <c r="H26" i="31"/>
  <c r="H25" i="31"/>
  <c r="H24" i="31"/>
  <c r="H23" i="31"/>
  <c r="H22" i="31"/>
  <c r="H21" i="31"/>
  <c r="H20" i="31"/>
  <c r="H19" i="31"/>
  <c r="H18" i="31"/>
  <c r="H17" i="31"/>
  <c r="H16" i="31"/>
  <c r="H15" i="31"/>
  <c r="H32" i="31" l="1"/>
  <c r="G32" i="31"/>
  <c r="C18" i="27"/>
  <c r="C17" i="27"/>
  <c r="C16" i="27"/>
  <c r="C15" i="27"/>
  <c r="C14" i="27"/>
  <c r="C29" i="30"/>
  <c r="C28" i="30"/>
  <c r="C27" i="30"/>
  <c r="C26" i="30"/>
  <c r="C25" i="30"/>
  <c r="C24" i="30"/>
  <c r="C23" i="30"/>
  <c r="C22" i="30"/>
  <c r="C21" i="30"/>
  <c r="C20" i="30"/>
  <c r="C19" i="30"/>
  <c r="C18" i="30"/>
  <c r="D18" i="30" s="1"/>
  <c r="C17" i="30"/>
  <c r="C16" i="30"/>
  <c r="C15" i="30"/>
  <c r="C14" i="30"/>
  <c r="B31" i="30"/>
  <c r="D30" i="30"/>
  <c r="D16" i="30" l="1"/>
  <c r="D17" i="30"/>
  <c r="D25" i="30"/>
  <c r="D28" i="30"/>
  <c r="D15" i="30"/>
  <c r="D27" i="30"/>
  <c r="D20" i="30"/>
  <c r="D24" i="30"/>
  <c r="D21" i="30"/>
  <c r="D29" i="30"/>
  <c r="D19" i="30"/>
  <c r="D23" i="30"/>
  <c r="D14" i="30"/>
  <c r="D22" i="30"/>
  <c r="D26" i="30"/>
  <c r="C31" i="30"/>
  <c r="G14" i="17"/>
  <c r="G15" i="17"/>
  <c r="G16" i="17"/>
  <c r="G17" i="17"/>
  <c r="G18" i="17"/>
  <c r="G19" i="17"/>
  <c r="G20" i="17"/>
  <c r="G21" i="17"/>
  <c r="G22" i="17"/>
  <c r="G23" i="17"/>
  <c r="D31" i="30" l="1"/>
  <c r="D59" i="16"/>
  <c r="C17" i="26"/>
  <c r="C16" i="26"/>
  <c r="C15" i="26"/>
  <c r="C14" i="26"/>
  <c r="D59" i="17" l="1"/>
  <c r="D31" i="29"/>
  <c r="G30" i="29"/>
  <c r="G29" i="29"/>
  <c r="G28" i="29"/>
  <c r="G27" i="29"/>
  <c r="H27" i="29" s="1"/>
  <c r="G26" i="29"/>
  <c r="G25" i="29"/>
  <c r="G24" i="29"/>
  <c r="G23" i="29"/>
  <c r="H23" i="29" s="1"/>
  <c r="G22" i="29"/>
  <c r="H22" i="29" s="1"/>
  <c r="G21" i="29"/>
  <c r="H21" i="29" s="1"/>
  <c r="G20" i="29"/>
  <c r="G19" i="29"/>
  <c r="G18" i="29"/>
  <c r="H18" i="29" s="1"/>
  <c r="G17" i="29"/>
  <c r="H17" i="29" s="1"/>
  <c r="G16" i="29"/>
  <c r="H16" i="29" s="1"/>
  <c r="G15" i="29"/>
  <c r="H15" i="29" s="1"/>
  <c r="G14" i="29"/>
  <c r="H14" i="29" s="1"/>
  <c r="D58" i="16"/>
  <c r="H28" i="29" l="1"/>
  <c r="H24" i="29"/>
  <c r="H25" i="29"/>
  <c r="H29" i="29"/>
  <c r="D23" i="16"/>
  <c r="G23" i="16"/>
  <c r="H26" i="29"/>
  <c r="H30" i="29"/>
  <c r="G24" i="16"/>
  <c r="H20" i="29"/>
  <c r="H19" i="29"/>
  <c r="D58" i="17"/>
  <c r="G31" i="29"/>
  <c r="H14" i="28"/>
  <c r="H15" i="28"/>
  <c r="H16" i="28"/>
  <c r="H17" i="28"/>
  <c r="H18" i="28"/>
  <c r="H19" i="28"/>
  <c r="H20" i="28"/>
  <c r="H21" i="28"/>
  <c r="H22" i="28"/>
  <c r="H23" i="28"/>
  <c r="H24" i="28"/>
  <c r="H25" i="28"/>
  <c r="H26" i="28"/>
  <c r="H27" i="28"/>
  <c r="H28" i="28"/>
  <c r="H29" i="28"/>
  <c r="G30" i="28"/>
  <c r="D30" i="28"/>
  <c r="E58" i="16" l="1"/>
  <c r="H31" i="29"/>
  <c r="D24" i="16"/>
  <c r="E59" i="16"/>
  <c r="D23" i="17"/>
  <c r="E58" i="17"/>
  <c r="E59" i="17"/>
  <c r="D24" i="17"/>
  <c r="H30" i="28"/>
  <c r="F13" i="17"/>
  <c r="F12" i="17"/>
  <c r="F11" i="17"/>
  <c r="F10" i="17"/>
  <c r="F9" i="17"/>
  <c r="E44" i="17" s="1"/>
  <c r="F8" i="17"/>
  <c r="E13" i="17"/>
  <c r="E12" i="17"/>
  <c r="E11" i="17"/>
  <c r="E8" i="17"/>
  <c r="E10" i="17"/>
  <c r="E9" i="17"/>
  <c r="F38" i="17" l="1"/>
  <c r="E43" i="17"/>
  <c r="F59" i="17"/>
  <c r="F58" i="17"/>
  <c r="F59" i="16"/>
  <c r="F58" i="16"/>
  <c r="E38" i="17"/>
  <c r="D16" i="27"/>
  <c r="D19" i="27"/>
  <c r="D18" i="27"/>
  <c r="D17" i="27"/>
  <c r="D15" i="27"/>
  <c r="D14" i="27"/>
  <c r="B20" i="27"/>
  <c r="D16" i="26" l="1"/>
  <c r="D17" i="26"/>
  <c r="D18" i="26"/>
  <c r="D15" i="26"/>
  <c r="C20" i="27" l="1"/>
  <c r="D14" i="26"/>
  <c r="D20" i="27" l="1"/>
  <c r="C19" i="26"/>
  <c r="B19" i="26"/>
  <c r="D19" i="26" l="1"/>
  <c r="E57" i="16"/>
  <c r="D22" i="16"/>
  <c r="E57" i="17"/>
  <c r="D22" i="17"/>
  <c r="C17" i="25"/>
  <c r="C16" i="25"/>
  <c r="C15" i="25"/>
  <c r="C14" i="25"/>
  <c r="G22" i="16" l="1"/>
  <c r="D57" i="17"/>
  <c r="D57" i="16"/>
  <c r="C25" i="23"/>
  <c r="C27" i="23"/>
  <c r="C26" i="23"/>
  <c r="C24" i="23"/>
  <c r="C23" i="23"/>
  <c r="C22" i="23"/>
  <c r="C21" i="23"/>
  <c r="D21" i="23" s="1"/>
  <c r="C20" i="23"/>
  <c r="D20" i="23" s="1"/>
  <c r="C19" i="23"/>
  <c r="C18" i="23"/>
  <c r="C17" i="23"/>
  <c r="D17" i="23" s="1"/>
  <c r="C16" i="23"/>
  <c r="D16" i="23" s="1"/>
  <c r="C15" i="23"/>
  <c r="D15" i="23" s="1"/>
  <c r="C14" i="23"/>
  <c r="B29" i="23"/>
  <c r="D28" i="23"/>
  <c r="B18" i="25"/>
  <c r="D17" i="25"/>
  <c r="D16" i="25"/>
  <c r="D15" i="25"/>
  <c r="D14" i="25"/>
  <c r="F57" i="16" l="1"/>
  <c r="F57" i="17"/>
  <c r="D23" i="23"/>
  <c r="D24" i="23"/>
  <c r="D14" i="23"/>
  <c r="D18" i="23"/>
  <c r="D22" i="23"/>
  <c r="D27" i="23"/>
  <c r="D19" i="23"/>
  <c r="D25" i="23"/>
  <c r="D26" i="23"/>
  <c r="C18" i="25"/>
  <c r="C29" i="23"/>
  <c r="D18" i="25"/>
  <c r="D29" i="23" l="1"/>
  <c r="E56" i="17"/>
  <c r="D56" i="17"/>
  <c r="D21" i="17" l="1"/>
  <c r="F56" i="17"/>
  <c r="G21" i="16"/>
  <c r="E56" i="16"/>
  <c r="D56" i="16"/>
  <c r="D21" i="16"/>
  <c r="C16" i="21"/>
  <c r="D16" i="21" s="1"/>
  <c r="C15" i="21"/>
  <c r="D15" i="21" s="1"/>
  <c r="C14" i="21"/>
  <c r="D14" i="21" s="1"/>
  <c r="B18" i="21"/>
  <c r="D17" i="21"/>
  <c r="B28" i="20"/>
  <c r="D27" i="20"/>
  <c r="C26" i="20"/>
  <c r="C25" i="20"/>
  <c r="C24" i="20"/>
  <c r="D24" i="20" s="1"/>
  <c r="C23" i="20"/>
  <c r="D23" i="20" s="1"/>
  <c r="C22" i="20"/>
  <c r="D22" i="20" s="1"/>
  <c r="C21" i="20"/>
  <c r="D21" i="20" s="1"/>
  <c r="C20" i="20"/>
  <c r="D20" i="20" s="1"/>
  <c r="C19" i="20"/>
  <c r="D19" i="20" s="1"/>
  <c r="C18" i="20"/>
  <c r="D18" i="20" s="1"/>
  <c r="C17" i="20"/>
  <c r="D17" i="20" s="1"/>
  <c r="C16" i="20"/>
  <c r="D16" i="20" s="1"/>
  <c r="C15" i="20"/>
  <c r="D15" i="20" s="1"/>
  <c r="C14" i="20"/>
  <c r="D14" i="20" s="1"/>
  <c r="D25" i="20" l="1"/>
  <c r="D26" i="20"/>
  <c r="C28" i="20"/>
  <c r="F56" i="16"/>
  <c r="C18" i="21"/>
  <c r="D18" i="21"/>
  <c r="D28" i="20" l="1"/>
  <c r="E55" i="16"/>
  <c r="G20" i="16" l="1"/>
  <c r="D20" i="16" l="1"/>
  <c r="D55" i="16"/>
  <c r="E55" i="17"/>
  <c r="D55" i="17"/>
  <c r="C15" i="19"/>
  <c r="D15" i="19" s="1"/>
  <c r="C14" i="19"/>
  <c r="D14" i="19" s="1"/>
  <c r="B17" i="19"/>
  <c r="D16" i="19"/>
  <c r="G25" i="18"/>
  <c r="G24" i="18"/>
  <c r="G23" i="18"/>
  <c r="H26" i="18"/>
  <c r="G22" i="18"/>
  <c r="G21" i="18"/>
  <c r="G20" i="18"/>
  <c r="G19" i="18"/>
  <c r="G18" i="18"/>
  <c r="G17" i="18"/>
  <c r="G16" i="18"/>
  <c r="G15" i="18"/>
  <c r="G14" i="18"/>
  <c r="D27" i="18"/>
  <c r="F55" i="16" l="1"/>
  <c r="H18" i="18"/>
  <c r="H14" i="18"/>
  <c r="H19" i="18"/>
  <c r="H15" i="18"/>
  <c r="H16" i="18"/>
  <c r="H20" i="18"/>
  <c r="H17" i="18"/>
  <c r="H21" i="18"/>
  <c r="H25" i="18"/>
  <c r="H23" i="18"/>
  <c r="H22" i="18"/>
  <c r="F55" i="17"/>
  <c r="H24" i="18"/>
  <c r="D20" i="17"/>
  <c r="D17" i="19"/>
  <c r="C17" i="19"/>
  <c r="G27" i="18"/>
  <c r="H27" i="18" l="1"/>
  <c r="D19" i="17" l="1"/>
  <c r="C16" i="9"/>
  <c r="C17" i="8"/>
  <c r="B18" i="8"/>
  <c r="G19" i="16"/>
  <c r="C14" i="15"/>
  <c r="C24" i="14"/>
  <c r="C23" i="14"/>
  <c r="C22" i="14"/>
  <c r="C21" i="14"/>
  <c r="C20" i="14"/>
  <c r="C19" i="14"/>
  <c r="C18" i="14"/>
  <c r="C17" i="14"/>
  <c r="C16" i="14"/>
  <c r="C15" i="14"/>
  <c r="C14" i="14"/>
  <c r="C23" i="10"/>
  <c r="C22" i="10"/>
  <c r="C21" i="10"/>
  <c r="C20" i="10"/>
  <c r="C19" i="10"/>
  <c r="C18" i="10"/>
  <c r="C17" i="10"/>
  <c r="C16" i="10"/>
  <c r="C15" i="10"/>
  <c r="C14" i="10"/>
  <c r="C21" i="9"/>
  <c r="C20" i="9"/>
  <c r="C19" i="9"/>
  <c r="C18" i="9"/>
  <c r="C17" i="9"/>
  <c r="C15" i="9"/>
  <c r="C14" i="9"/>
  <c r="D18" i="17" l="1"/>
  <c r="G18" i="16"/>
  <c r="D17" i="17"/>
  <c r="G17" i="16"/>
  <c r="E46" i="16"/>
  <c r="D17" i="8"/>
  <c r="C18" i="8"/>
  <c r="F38" i="16" l="1"/>
  <c r="C38" i="16"/>
  <c r="E54" i="17"/>
  <c r="D54" i="17"/>
  <c r="D47" i="17"/>
  <c r="D43" i="17"/>
  <c r="E53" i="17"/>
  <c r="D53" i="17"/>
  <c r="D52" i="17"/>
  <c r="E51" i="17"/>
  <c r="D16" i="17"/>
  <c r="E50" i="17"/>
  <c r="D49" i="17"/>
  <c r="D14" i="17"/>
  <c r="G13" i="17"/>
  <c r="D48" i="17"/>
  <c r="D13" i="17"/>
  <c r="G12" i="17"/>
  <c r="D12" i="17"/>
  <c r="E47" i="17"/>
  <c r="G11" i="17"/>
  <c r="E46" i="17"/>
  <c r="G10" i="17"/>
  <c r="D45" i="17"/>
  <c r="D10" i="17"/>
  <c r="G9" i="17"/>
  <c r="D44" i="17"/>
  <c r="D9" i="17"/>
  <c r="G8" i="17"/>
  <c r="D8" i="17"/>
  <c r="E54" i="16"/>
  <c r="D54" i="16"/>
  <c r="D50" i="16"/>
  <c r="D46" i="16"/>
  <c r="D19" i="16"/>
  <c r="E53" i="16"/>
  <c r="D53" i="16"/>
  <c r="E52" i="16"/>
  <c r="D52" i="16"/>
  <c r="G16" i="16"/>
  <c r="E51" i="16"/>
  <c r="D51" i="16"/>
  <c r="G15" i="16"/>
  <c r="E50" i="16"/>
  <c r="G14" i="16"/>
  <c r="E49" i="16"/>
  <c r="G13" i="16"/>
  <c r="E48" i="16"/>
  <c r="D48" i="16"/>
  <c r="G12" i="16"/>
  <c r="E47" i="16"/>
  <c r="G11" i="16"/>
  <c r="G10" i="16"/>
  <c r="E45" i="16"/>
  <c r="D45" i="16"/>
  <c r="G9" i="16"/>
  <c r="E44" i="16"/>
  <c r="G8" i="16"/>
  <c r="E43" i="16"/>
  <c r="B16" i="15"/>
  <c r="D15" i="15"/>
  <c r="D14" i="15"/>
  <c r="D14" i="10"/>
  <c r="D15" i="10"/>
  <c r="D16" i="10"/>
  <c r="D17" i="10"/>
  <c r="D18" i="10"/>
  <c r="D19" i="10"/>
  <c r="D20" i="10"/>
  <c r="D21" i="10"/>
  <c r="D22" i="10"/>
  <c r="D23" i="10"/>
  <c r="D24" i="10"/>
  <c r="C16" i="15"/>
  <c r="D25" i="14"/>
  <c r="C26" i="14"/>
  <c r="B26" i="14"/>
  <c r="D24" i="14"/>
  <c r="D23" i="14"/>
  <c r="D22" i="14"/>
  <c r="D21" i="14"/>
  <c r="D20" i="14"/>
  <c r="D19" i="14"/>
  <c r="D18" i="14"/>
  <c r="D17" i="14"/>
  <c r="D16" i="14"/>
  <c r="D15" i="14"/>
  <c r="D14" i="14"/>
  <c r="G38" i="17" l="1"/>
  <c r="E73" i="16"/>
  <c r="G38" i="16"/>
  <c r="F53" i="17"/>
  <c r="F47" i="17"/>
  <c r="F54" i="17"/>
  <c r="F54" i="16"/>
  <c r="D14" i="16"/>
  <c r="F49" i="16"/>
  <c r="D8" i="16"/>
  <c r="F44" i="16"/>
  <c r="F53" i="16"/>
  <c r="F52" i="16"/>
  <c r="F50" i="16"/>
  <c r="D10" i="16"/>
  <c r="D12" i="16"/>
  <c r="F48" i="16"/>
  <c r="D15" i="16"/>
  <c r="D16" i="16"/>
  <c r="D17" i="16"/>
  <c r="F51" i="16"/>
  <c r="F45" i="16"/>
  <c r="F43" i="17"/>
  <c r="F46" i="16"/>
  <c r="D9" i="16"/>
  <c r="D13" i="16"/>
  <c r="D18" i="16"/>
  <c r="D47" i="16"/>
  <c r="D11" i="17"/>
  <c r="D15" i="17"/>
  <c r="E45" i="17"/>
  <c r="E49" i="17"/>
  <c r="F44" i="17"/>
  <c r="E48" i="17"/>
  <c r="D51" i="17"/>
  <c r="E52" i="17"/>
  <c r="D11" i="16"/>
  <c r="D46" i="17"/>
  <c r="D50" i="17"/>
  <c r="D16" i="15"/>
  <c r="D26" i="14"/>
  <c r="F47" i="16" l="1"/>
  <c r="F52" i="17"/>
  <c r="F51" i="17"/>
  <c r="F50" i="17"/>
  <c r="F49" i="17"/>
  <c r="F48" i="17"/>
  <c r="F46" i="17"/>
  <c r="D38" i="17"/>
  <c r="F45" i="17"/>
  <c r="E73" i="17"/>
  <c r="D73" i="17"/>
  <c r="F43" i="16"/>
  <c r="F73" i="16" s="1"/>
  <c r="D73" i="16"/>
  <c r="D38" i="16"/>
  <c r="B25" i="10"/>
  <c r="F73" i="17" l="1"/>
  <c r="C20" i="11"/>
  <c r="B20" i="11"/>
  <c r="D19" i="11"/>
  <c r="D18" i="11"/>
  <c r="D17" i="11"/>
  <c r="D16" i="11"/>
  <c r="D15" i="11"/>
  <c r="D14" i="11"/>
  <c r="C25" i="10"/>
  <c r="C23" i="9"/>
  <c r="B23" i="9"/>
  <c r="D22" i="9"/>
  <c r="D21" i="9"/>
  <c r="D20" i="9"/>
  <c r="D19" i="9"/>
  <c r="D18" i="9"/>
  <c r="D17" i="9"/>
  <c r="D16" i="9"/>
  <c r="D15" i="9"/>
  <c r="D14" i="9"/>
  <c r="D16" i="8"/>
  <c r="D15" i="8"/>
  <c r="D14" i="8"/>
  <c r="G15" i="5"/>
  <c r="D18" i="8" l="1"/>
  <c r="D20" i="11"/>
  <c r="H15" i="5"/>
  <c r="D25" i="10"/>
  <c r="D23" i="9"/>
</calcChain>
</file>

<file path=xl/sharedStrings.xml><?xml version="1.0" encoding="utf-8"?>
<sst xmlns="http://schemas.openxmlformats.org/spreadsheetml/2006/main" count="605" uniqueCount="168">
  <si>
    <t>City of Denison</t>
  </si>
  <si>
    <t>Bond Maturity Schedule</t>
  </si>
  <si>
    <t>Principal</t>
  </si>
  <si>
    <t>Interest</t>
  </si>
  <si>
    <t>Total</t>
  </si>
  <si>
    <t>Issue Amount:  $4,530,000</t>
  </si>
  <si>
    <t>09/30/2025</t>
  </si>
  <si>
    <t>09/30/2026</t>
  </si>
  <si>
    <t>09/30/2027</t>
  </si>
  <si>
    <t>09/30/2028</t>
  </si>
  <si>
    <t>02/15/2025</t>
  </si>
  <si>
    <t>02/15/2026</t>
  </si>
  <si>
    <t>09/30/2029</t>
  </si>
  <si>
    <t>Combination Tax &amp; Revenue Certificates of Obligation - Series 2012</t>
  </si>
  <si>
    <t>Issue Amount:  $6,665,000</t>
  </si>
  <si>
    <t>Purpose:  Repairs and renovations, including lighting retrofits and networked thermostats, for existing municipal buildings; and improvements to the City's waterworks and sewer system including the Paw Paw wastewater treatment plant and the Duck Creek lift station.</t>
  </si>
  <si>
    <t>Issue Amount:  $2,240,000</t>
  </si>
  <si>
    <t>Purpose:  For constructing and equipping a fire station, with any surplus funds to be used for major repairs and renovations to existing municipal buildings.</t>
  </si>
  <si>
    <t>09/30/2030</t>
  </si>
  <si>
    <t>09/30/2031</t>
  </si>
  <si>
    <t>09/30/2032</t>
  </si>
  <si>
    <t>09/30/2033</t>
  </si>
  <si>
    <t>Issue Amount:  $6,335,000</t>
  </si>
  <si>
    <t>Purpose:  To fund water &amp; sewer projects including, but not limited to Randell Dam improvements and the purchase and installation of an Automated Meter Reading system.</t>
  </si>
  <si>
    <t>09/30/2034</t>
  </si>
  <si>
    <t>09/30/2035</t>
  </si>
  <si>
    <t>Issue Amount:  $4,584,830.80</t>
  </si>
  <si>
    <t>Purpose:  To purchase additional water storage rights in Lake Texoma, for water supply, in contract with the Greater Texoma Utility Authority.</t>
  </si>
  <si>
    <t>Obligated Debt Service Schedule</t>
  </si>
  <si>
    <t>General Obligation Bonds</t>
  </si>
  <si>
    <t>W/S Obligation Bonds</t>
  </si>
  <si>
    <t>Fiscal Year</t>
  </si>
  <si>
    <t>Total P &amp; I</t>
  </si>
  <si>
    <t xml:space="preserve"> </t>
  </si>
  <si>
    <t>Combined</t>
  </si>
  <si>
    <t>Budgeted Debt Service Schedule</t>
  </si>
  <si>
    <t>General Debt Fund</t>
  </si>
  <si>
    <t>W/S Debt Fund</t>
  </si>
  <si>
    <t>Combination Tax &amp; Surplus Revenue Certificates of Obligation - Series 2016A</t>
  </si>
  <si>
    <t>Issue Amount:  $1,725,000</t>
  </si>
  <si>
    <t>Purpose: To fund waterworks and sewer system improvements including, but not limited to the Parkdale Ground Tank and Grayson College Elevated Tank, and improvements to Lake Randell Dam and spillway.</t>
  </si>
  <si>
    <t>09/30/2036</t>
  </si>
  <si>
    <t>Issue Amount:  $7,475,000</t>
  </si>
  <si>
    <t>Period Ending</t>
  </si>
  <si>
    <t xml:space="preserve">Principal   </t>
  </si>
  <si>
    <t xml:space="preserve">Interest   </t>
  </si>
  <si>
    <t xml:space="preserve">Total P+I   </t>
  </si>
  <si>
    <t>Issue Amount:  $6,870,000</t>
  </si>
  <si>
    <t>Purpose: To fund waterworks and sewer system projects including, but not limited to, the TCEQ SSO projects, elevated &amp; ground water tanks rehab, Iron Ore Creek Trunk Sewer, and Paw Paw UV Equipment and Clarifier.  A portion of the funds would also be used to remodel 300 W Main as a new City Hall location.</t>
  </si>
  <si>
    <t>09/30/2037</t>
  </si>
  <si>
    <t>Issue Amount:  $2,855,000</t>
  </si>
  <si>
    <t>Issue Amount:  $7,255,000</t>
  </si>
  <si>
    <t>09/30/2038</t>
  </si>
  <si>
    <t>Issue Amount:  $1,000,000</t>
  </si>
  <si>
    <t>Obligated</t>
  </si>
  <si>
    <t>GF</t>
  </si>
  <si>
    <t>WS</t>
  </si>
  <si>
    <t>Budgeted</t>
  </si>
  <si>
    <t>2013A General Obligation Refunding Bonds</t>
  </si>
  <si>
    <t>2012 Combination Tax &amp; Revenue Certificates of Obligation</t>
  </si>
  <si>
    <t>2013B Combination Tax &amp; Limited Surplus Revenue Certificates of Obligation</t>
  </si>
  <si>
    <t>2015 Combination Tax &amp; Limited Surplus Revenue Certificates of Obligation</t>
  </si>
  <si>
    <t>2016A Combination Tax &amp; Surplus Revenue Certificates of Obligation</t>
  </si>
  <si>
    <t>2016B Combination Tax &amp; Revenue Certificates of Obligation</t>
  </si>
  <si>
    <t>2010 Contract Revenue Bonds</t>
  </si>
  <si>
    <t>2017A Combination Tax &amp; Revenue Certificates of Obligation</t>
  </si>
  <si>
    <t>2017B Combination Tax &amp; Revenue Certificates of Obligation</t>
  </si>
  <si>
    <t>2018 Combination Tax &amp; Revenue Certificates of Obligation - Series 2018</t>
  </si>
  <si>
    <t>2018A Combination Tax &amp; Revenue Certificates of Obligation - Series 2018A</t>
  </si>
  <si>
    <t>General Obligation Refunding Bonds - Series 2013</t>
  </si>
  <si>
    <t>Combination Tax &amp; Limited Surplus Revenue Certificates of Obligation - Series 2013</t>
  </si>
  <si>
    <t>Combination Tax &amp; Surplus Revenue Certificates of Obligation - Series 2019</t>
  </si>
  <si>
    <t>Issue Amount:  $5,255,000</t>
  </si>
  <si>
    <t>General Obligation Refunding Bonds - Series 2019</t>
  </si>
  <si>
    <t>Issue Amount:  $3,060,000</t>
  </si>
  <si>
    <t>09/30/2039</t>
  </si>
  <si>
    <t>Purpose: To fund waterworks and sewer system projects including, but not limited to, the NTRA elevated water tank, Theresa and West Loy Lake lines, Parkdale elevated tank, and distribution &amp; collection projects.</t>
  </si>
  <si>
    <t>Purpose: To fund the design phase of the downtown improvements project.</t>
  </si>
  <si>
    <t>General Obligation Refunding Bonds - Series 2020</t>
  </si>
  <si>
    <t xml:space="preserve">Purpose: To refund the Combination Tax and Revenue Certificates of Obligation - Series 2010, that were obligated to the City's waterworks and sewer system improvements. </t>
  </si>
  <si>
    <t>Issue Amount:  $2,450,000</t>
  </si>
  <si>
    <t xml:space="preserve">Purpose: For the purchase of a new ladder truck and renovation of the West End fire station.  </t>
  </si>
  <si>
    <t>09/30/2040</t>
  </si>
  <si>
    <t xml:space="preserve">Purpose: To fund waterworks &amp; sewer system improvements, and to construct and improve streets (Flora/Waterloo/Lang/Loy Lake) including sidewalks, landscaping, streetscaping, lighting, drainage, and utility line relocations. </t>
  </si>
  <si>
    <t>Purpose:  To provide funds for park and recreational improvements.</t>
  </si>
  <si>
    <t xml:space="preserve">    (Texoma Health Foundation Sports Complex)</t>
  </si>
  <si>
    <t>Purpose: To help fund the construction of the Texoma Health Foundation Park project.</t>
  </si>
  <si>
    <t>Purpose: To fund water &amp; sewer infrastructure improvements including the NTRA Elevated Tank, Water Lines, Paw Paw UV Clarifier, Iron Ore Creek Trunk Sewer, TCEQ SSO projects and Wastewater Master Plan.</t>
  </si>
  <si>
    <t>Purpose:  Refunding of Series 2001 Revenue Bonds issued for Water and Sewer System improvements, Series 2005 General Obligation Bonds issued for Street improvements, and Series 2005 Water/Sewer Revenue Refunding Bonds.</t>
  </si>
  <si>
    <t>Combination Tax &amp; Limited Surplus Revenue Certificates of Obligation - Series 2020A</t>
  </si>
  <si>
    <t>Combination Tax and Surplus Revenue Certificates of Obligation - Series 2015</t>
  </si>
  <si>
    <t>Combination Tax and Limited Surplus Revenue Certificate of Obligation - Series 2016B</t>
  </si>
  <si>
    <t>Combination Tax and Limited Surplus Revenue Certificate of Obligation - Series 2017B</t>
  </si>
  <si>
    <t>Combination Tax and Limited Surplus Revenue Certificate of Obligation - Series 2018A</t>
  </si>
  <si>
    <t>Combination Tax and Limited Surplus Revenue Certificates of Obligation - Series 2020B</t>
  </si>
  <si>
    <t>09/30/2041</t>
  </si>
  <si>
    <t>Combination Tax and Limited Surplus Revenue Certificates of Obligation - Series 2021A</t>
  </si>
  <si>
    <t>Issue Amount:  $15,940,000</t>
  </si>
  <si>
    <t>Issue Amount:  $10,235,000</t>
  </si>
  <si>
    <t>Combination Tax and Limited Surplus Revenue Certificates of Obligation - Series 2021B</t>
  </si>
  <si>
    <t>Issue Amount:  $10,365,000</t>
  </si>
  <si>
    <t>Purpose:  Proceeds from the sale of the Bonds will be used to refund a portion of the City's outstanding debt in order to lower the overall debt service requirements of the City.  The refunded bonds (Series 2008) were initially obtained for the purpose of acquiring, constructing, installing and equipping improvements and additions to the City's waterworks and sewer system; and the acquisition of land and interests in land for such projects; and paying legal, fiscal, design and engineering fees in connection with such projects.</t>
  </si>
  <si>
    <t>2019 Combination Tax &amp; Surplus Revenue Certificates of Obligation</t>
  </si>
  <si>
    <t>2019 Ref General Obligation Refunding Bonds</t>
  </si>
  <si>
    <t>2020A Combination Tax &amp; Limited Surplus Revenue Certificates of Obligation</t>
  </si>
  <si>
    <t>2020 Ref General Obligation Refunding Bonds</t>
  </si>
  <si>
    <t>2020B Combination Tax and Limited Surplus Revenue Certificates of Obligation</t>
  </si>
  <si>
    <t>2021A Combination Tax and Limited Surplus Revenue Certificates of Obligation</t>
  </si>
  <si>
    <t>2021B Combination Tax and Limited Surplus Revenue Certificates of Obligation</t>
  </si>
  <si>
    <t>THF Park</t>
  </si>
  <si>
    <t>City Hall Reno / WS Impr</t>
  </si>
  <si>
    <t>WS Impr</t>
  </si>
  <si>
    <t>D3 Design</t>
  </si>
  <si>
    <t>D3 Streets / D3 Utilities</t>
  </si>
  <si>
    <t>Streets / WS Impr</t>
  </si>
  <si>
    <t>Fire Engine / FD Remodel</t>
  </si>
  <si>
    <t>GTUA</t>
  </si>
  <si>
    <t>GF/WS Energy Improvements</t>
  </si>
  <si>
    <t>Soutside Fire Station</t>
  </si>
  <si>
    <t>Utility Fund Obligated / Utility Fund Budgeted</t>
  </si>
  <si>
    <t>General Fund Obligated / Utility Fund Budgeted</t>
  </si>
  <si>
    <t>General Fund Obligated / General Fund Budgeted</t>
  </si>
  <si>
    <t>Purpose: To fund the waterworks &amp; sewer system improvements, and acquisition of land and interests in land for projects.</t>
  </si>
  <si>
    <t>General Fund Obligated / General Fund (76%) &amp; Utility Fund (24%) Budgeted</t>
  </si>
  <si>
    <t>General Fund Obligated / General Fund (43%) &amp; Utility Fund (57%) Budgeted</t>
  </si>
  <si>
    <t>General Fund Obligated / General Fund (62%) &amp; Utility Fund (38%) Budgeted</t>
  </si>
  <si>
    <t>General Fund Obligated / General Fund (77%) &amp; Utility Fund (23%) Budgeted</t>
  </si>
  <si>
    <t>UF-P</t>
  </si>
  <si>
    <t>GF-P</t>
  </si>
  <si>
    <t>GF-I</t>
  </si>
  <si>
    <t>UF-I</t>
  </si>
  <si>
    <t>Combination Tax and Limited Surplus Revenue Certificates of Obligation - Series 2022A</t>
  </si>
  <si>
    <t>Issue Amount:  $22,165,000</t>
  </si>
  <si>
    <t>09/30/2042</t>
  </si>
  <si>
    <t>Utility Fund Budgeted / DDA Portion</t>
  </si>
  <si>
    <t>Purpose: To fund the City's waterworks &amp; sewer system improvements, and acquisition of land and interests in land for projects.</t>
  </si>
  <si>
    <t>Issue Amount:  $4,600,000</t>
  </si>
  <si>
    <t>UF</t>
  </si>
  <si>
    <t>Purpose: To fund demolition of dangerous structures in the City; and legal, fiscal and engineering fees in connection with such demolition projects and the Certificates.</t>
  </si>
  <si>
    <t>Greater Texoma Utility Authority Contract Revenue Bonds - Series 2010</t>
  </si>
  <si>
    <t xml:space="preserve"> (Lake Texoma Water Storage Project)</t>
  </si>
  <si>
    <t>Purpose: To fund the waterworks &amp; sewer system and to construct and improve streets, including sidewalks, landscaping, streetscaping, lighting, drainage, utility line relocations; and to construct and install parking facilities, all related to the D3 project.</t>
  </si>
  <si>
    <t>Combination Tax and Surplus Revenue Certificate of Obligation - Series 2017A</t>
  </si>
  <si>
    <t>Combination Tax &amp; Surplus Revenue Certificates of Obligation - Series 2018</t>
  </si>
  <si>
    <t>Combination Tax and Limited Surplus Revenue Certificates of Obligation - Taxable Series 2022B</t>
  </si>
  <si>
    <t>Purpose: To fund the phase two design of the downtown improvements project.</t>
  </si>
  <si>
    <t>Issue Amount:  $39,520,000</t>
  </si>
  <si>
    <t>Issue Amount:  $1,140,000</t>
  </si>
  <si>
    <t>Purpose: To fund waterworks projects including but not limited to the Lake Texoma Raw Water Pump Station, Ryland Water Treatment Plant expansion, Duck Creek Interceptor reconstruction, Loy Lake Road reconstruction, and Phase 1 of the Waterloo gravity sewer line replacement.</t>
  </si>
  <si>
    <t>Combination Tax and Limited Surplus Revenue Certificates of Obligation - Series 2023</t>
  </si>
  <si>
    <t>Combination Tax and Limited Surplus Revenue Certificates of Obligation - Series 2022C</t>
  </si>
  <si>
    <t>Issue Amount:  $4,040,000</t>
  </si>
  <si>
    <t>Combination Tax and Limited Surplus Revenue Certificates of Obligation - Series 2024</t>
  </si>
  <si>
    <t>Issue Amount:  $53,450,000</t>
  </si>
  <si>
    <t>2024/2025 Budget</t>
  </si>
  <si>
    <t>Need to separate W/S and Demolition debt</t>
  </si>
  <si>
    <t>W&amp;S is utility budgeted.</t>
  </si>
  <si>
    <t>Demo is GF Obligated</t>
  </si>
  <si>
    <t>DDA - P</t>
  </si>
  <si>
    <t>UF - P</t>
  </si>
  <si>
    <t>DDA - I</t>
  </si>
  <si>
    <t>UF - I</t>
  </si>
  <si>
    <t>Tax Note, Series 2024</t>
  </si>
  <si>
    <t>Issue Amount:  $3,860,000</t>
  </si>
  <si>
    <t xml:space="preserve">Purpose: To construct a Visitor Center.  </t>
  </si>
  <si>
    <t>Purpose: To fund the City's waterworks &amp; sewer system improvements, and necessary improvements to Loy Lake dam.</t>
  </si>
  <si>
    <t>General Fund Obligated / DDA Supported</t>
  </si>
  <si>
    <t>General Fund Obligated / General Fund &amp; Utility Fund Budgeted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</si>
</sst>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1" formatCode="_(* #,##0_);_(* \(#,##0\);_(* &quot;-&quot;_);_(@_)"/>
    <numFmt numFmtId="44" formatCode="_(&quot;$&quot;* #,##0.00_);_(&quot;$&quot;* \(#,##0.00\);_(&quot;$&quot;* &quot;-&quot;??_);_(@_)"/>
    <numFmt numFmtId="43" formatCode="_(* #,##0.00_);_(* \(#,##0.00\);_(* &quot;-&quot;??_);_(@_)"/>
    <numFmt numFmtId="164" formatCode="&quot;$&quot;#,##0.00"/>
    <numFmt numFmtId="165" formatCode="mm/dd/yyyy;@"/>
  </numFmts>
  <fonts count="35" x14ac:knownFonts="1">
    <font>
      <sz val="11"/>
      <color theme="1"/>
      <name val="Calibri"/>
      <family val="2"/>
      <scheme val="minor"/>
    </font>
    <font>
      <sz val="10"/>
      <name val="Arial"/>
      <family val="2"/>
    </font>
    <font>
      <b/>
      <sz val="14"/>
      <name val="Arial"/>
      <family val="2"/>
    </font>
    <font>
      <b/>
      <sz val="12"/>
      <name val="Arial"/>
      <family val="2"/>
    </font>
    <font>
      <b/>
      <i/>
      <sz val="10"/>
      <name val="Arial"/>
      <family val="2"/>
    </font>
    <font>
      <b/>
      <sz val="10"/>
      <name val="Arial"/>
      <family val="2"/>
    </font>
    <font>
      <sz val="9"/>
      <name val="Arial"/>
      <family val="2"/>
    </font>
    <font>
      <b/>
      <sz val="9"/>
      <color rgb="FF0028A8"/>
      <name val="Arial"/>
      <family val="2"/>
    </font>
    <font>
      <b/>
      <sz val="9"/>
      <name val="Arial"/>
      <family val="2"/>
    </font>
    <font>
      <b/>
      <sz val="10"/>
      <color rgb="FF0028A8"/>
      <name val="Arial"/>
      <family val="2"/>
    </font>
    <font>
      <b/>
      <sz val="10"/>
      <color indexed="12"/>
      <name val="Arial"/>
      <family val="2"/>
    </font>
    <font>
      <sz val="8"/>
      <name val="Calibri"/>
      <family val="2"/>
      <scheme val="minor"/>
    </font>
    <font>
      <b/>
      <sz val="12"/>
      <color rgb="FFFF0000"/>
      <name val="Arial"/>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indexed="8"/>
      <name val="Arial"/>
      <family val="2"/>
    </font>
    <font>
      <sz val="10"/>
      <name val="Calibri"/>
      <family val="2"/>
    </font>
    <font>
      <sz val="9"/>
      <name val="Calibri"/>
      <family val="2"/>
    </font>
    <font>
      <sz val="9"/>
      <color rgb="FF000000"/>
      <name val="Calibri"/>
      <family val="2"/>
    </font>
    <font>
      <sz val="10"/>
      <color theme="1"/>
      <name val="Arial"/>
      <family val="2"/>
    </font>
  </fonts>
  <fills count="38">
    <fill>
      <patternFill patternType="none"/>
    </fill>
    <fill>
      <patternFill patternType="gray125"/>
    </fill>
    <fill>
      <patternFill patternType="solid">
        <fgColor rgb="FFA6C6B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7">
    <xf numFmtId="0" fontId="0"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4" fillId="0" borderId="0" applyNumberFormat="0" applyFill="0" applyBorder="0" applyAlignment="0" applyProtection="0"/>
    <xf numFmtId="0" fontId="15" fillId="0" borderId="14" applyNumberFormat="0" applyFill="0" applyAlignment="0" applyProtection="0"/>
    <xf numFmtId="0" fontId="16" fillId="0" borderId="15" applyNumberFormat="0" applyFill="0" applyAlignment="0" applyProtection="0"/>
    <xf numFmtId="0" fontId="17" fillId="0" borderId="16" applyNumberFormat="0" applyFill="0" applyAlignment="0" applyProtection="0"/>
    <xf numFmtId="0" fontId="17" fillId="0" borderId="0" applyNumberFormat="0" applyFill="0" applyBorder="0" applyAlignment="0" applyProtection="0"/>
    <xf numFmtId="0" fontId="18" fillId="7" borderId="0" applyNumberFormat="0" applyBorder="0" applyAlignment="0" applyProtection="0"/>
    <xf numFmtId="0" fontId="19" fillId="8" borderId="0" applyNumberFormat="0" applyBorder="0" applyAlignment="0" applyProtection="0"/>
    <xf numFmtId="0" fontId="20" fillId="9" borderId="0" applyNumberFormat="0" applyBorder="0" applyAlignment="0" applyProtection="0"/>
    <xf numFmtId="0" fontId="21" fillId="10" borderId="17" applyNumberFormat="0" applyAlignment="0" applyProtection="0"/>
    <xf numFmtId="0" fontId="22" fillId="11" borderId="18" applyNumberFormat="0" applyAlignment="0" applyProtection="0"/>
    <xf numFmtId="0" fontId="23" fillId="11" borderId="17" applyNumberFormat="0" applyAlignment="0" applyProtection="0"/>
    <xf numFmtId="0" fontId="24" fillId="0" borderId="19" applyNumberFormat="0" applyFill="0" applyAlignment="0" applyProtection="0"/>
    <xf numFmtId="0" fontId="25" fillId="12" borderId="20" applyNumberFormat="0" applyAlignment="0" applyProtection="0"/>
    <xf numFmtId="0" fontId="26" fillId="0" borderId="0" applyNumberFormat="0" applyFill="0" applyBorder="0" applyAlignment="0" applyProtection="0"/>
    <xf numFmtId="0" fontId="13" fillId="13" borderId="21" applyNumberFormat="0" applyFont="0" applyAlignment="0" applyProtection="0"/>
    <xf numFmtId="0" fontId="27" fillId="0" borderId="0" applyNumberFormat="0" applyFill="0" applyBorder="0" applyAlignment="0" applyProtection="0"/>
    <xf numFmtId="0" fontId="28" fillId="0" borderId="22" applyNumberFormat="0" applyFill="0" applyAlignment="0" applyProtection="0"/>
    <xf numFmtId="0" fontId="29"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29"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29"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29"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29" fillId="30"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33" borderId="0" applyNumberFormat="0" applyBorder="0" applyAlignment="0" applyProtection="0"/>
    <xf numFmtId="0" fontId="29" fillId="34" borderId="0" applyNumberFormat="0" applyBorder="0" applyAlignment="0" applyProtection="0"/>
    <xf numFmtId="0" fontId="13" fillId="35" borderId="0" applyNumberFormat="0" applyBorder="0" applyAlignment="0" applyProtection="0"/>
    <xf numFmtId="0" fontId="13" fillId="36" borderId="0" applyNumberFormat="0" applyBorder="0" applyAlignment="0" applyProtection="0"/>
    <xf numFmtId="0" fontId="13" fillId="37" borderId="0" applyNumberFormat="0" applyBorder="0" applyAlignment="0" applyProtection="0"/>
    <xf numFmtId="43" fontId="13" fillId="0" borderId="0" applyFont="0" applyFill="0" applyBorder="0" applyAlignment="0" applyProtection="0"/>
  </cellStyleXfs>
  <cellXfs count="111">
    <xf numFmtId="0" fontId="0" fillId="0" borderId="0" xfId="0"/>
    <xf numFmtId="0" fontId="1" fillId="0" borderId="0" xfId="1"/>
    <xf numFmtId="0" fontId="3" fillId="0" borderId="0" xfId="1" applyFont="1" applyAlignment="1">
      <alignment horizontal="center"/>
    </xf>
    <xf numFmtId="0" fontId="5" fillId="0" borderId="1" xfId="1" applyFont="1" applyBorder="1" applyAlignment="1">
      <alignment horizontal="center"/>
    </xf>
    <xf numFmtId="49" fontId="6" fillId="0" borderId="0" xfId="1" applyNumberFormat="1" applyFont="1" applyAlignment="1">
      <alignment horizontal="center"/>
    </xf>
    <xf numFmtId="0" fontId="6" fillId="0" borderId="0" xfId="1" applyFont="1"/>
    <xf numFmtId="49" fontId="7" fillId="0" borderId="2" xfId="1" applyNumberFormat="1" applyFont="1" applyBorder="1" applyAlignment="1">
      <alignment horizontal="center"/>
    </xf>
    <xf numFmtId="49" fontId="1" fillId="0" borderId="0" xfId="1" applyNumberFormat="1" applyAlignment="1">
      <alignment horizontal="center"/>
    </xf>
    <xf numFmtId="0" fontId="2" fillId="0" borderId="0" xfId="1" applyFont="1" applyAlignment="1">
      <alignment horizontal="center"/>
    </xf>
    <xf numFmtId="43" fontId="1" fillId="0" borderId="0" xfId="1" applyNumberFormat="1" applyAlignment="1">
      <alignment horizontal="center"/>
    </xf>
    <xf numFmtId="0" fontId="10" fillId="0" borderId="0" xfId="1" applyFont="1" applyAlignment="1">
      <alignment horizontal="center"/>
    </xf>
    <xf numFmtId="164" fontId="10" fillId="0" borderId="0" xfId="1" applyNumberFormat="1" applyFont="1"/>
    <xf numFmtId="0" fontId="1" fillId="0" borderId="0" xfId="1" applyAlignment="1">
      <alignment horizontal="center"/>
    </xf>
    <xf numFmtId="43" fontId="1" fillId="0" borderId="0" xfId="1" applyNumberFormat="1"/>
    <xf numFmtId="164" fontId="1" fillId="0" borderId="0" xfId="1" applyNumberFormat="1"/>
    <xf numFmtId="43" fontId="6" fillId="0" borderId="0" xfId="1" applyNumberFormat="1" applyFont="1" applyAlignment="1">
      <alignment horizontal="center"/>
    </xf>
    <xf numFmtId="43" fontId="7" fillId="0" borderId="2" xfId="1" applyNumberFormat="1" applyFont="1" applyBorder="1" applyAlignment="1">
      <alignment horizontal="center"/>
    </xf>
    <xf numFmtId="44" fontId="1" fillId="0" borderId="0" xfId="1" applyNumberFormat="1" applyAlignment="1">
      <alignment horizontal="center"/>
    </xf>
    <xf numFmtId="41" fontId="7" fillId="0" borderId="2" xfId="1" applyNumberFormat="1" applyFont="1" applyBorder="1" applyAlignment="1">
      <alignment horizontal="center"/>
    </xf>
    <xf numFmtId="41" fontId="6" fillId="0" borderId="0" xfId="1" applyNumberFormat="1" applyFont="1" applyAlignment="1">
      <alignment horizontal="center"/>
    </xf>
    <xf numFmtId="0" fontId="5" fillId="0" borderId="1" xfId="1" applyFont="1" applyBorder="1" applyAlignment="1">
      <alignment horizontal="right"/>
    </xf>
    <xf numFmtId="0" fontId="1" fillId="0" borderId="0" xfId="1" applyAlignment="1">
      <alignment horizontal="right"/>
    </xf>
    <xf numFmtId="0" fontId="4" fillId="0" borderId="0" xfId="1" applyFont="1" applyAlignment="1">
      <alignment horizontal="center" vertical="center" wrapText="1"/>
    </xf>
    <xf numFmtId="0" fontId="4" fillId="0" borderId="0" xfId="1" applyFont="1" applyAlignment="1">
      <alignment vertical="center" wrapText="1"/>
    </xf>
    <xf numFmtId="0" fontId="12" fillId="0" borderId="0" xfId="1" applyFont="1"/>
    <xf numFmtId="9" fontId="0" fillId="0" borderId="0" xfId="0" applyNumberFormat="1" applyAlignment="1">
      <alignment horizontal="center"/>
    </xf>
    <xf numFmtId="0" fontId="0" fillId="0" borderId="9" xfId="0" applyBorder="1"/>
    <xf numFmtId="0" fontId="0" fillId="0" borderId="4" xfId="0" applyBorder="1"/>
    <xf numFmtId="9" fontId="0" fillId="0" borderId="12" xfId="0" applyNumberFormat="1" applyBorder="1" applyAlignment="1">
      <alignment horizontal="center"/>
    </xf>
    <xf numFmtId="9" fontId="0" fillId="0" borderId="13" xfId="0" applyNumberFormat="1" applyBorder="1" applyAlignment="1">
      <alignment horizontal="center"/>
    </xf>
    <xf numFmtId="9" fontId="0" fillId="4" borderId="10" xfId="0" applyNumberFormat="1" applyFill="1" applyBorder="1" applyAlignment="1">
      <alignment horizontal="center"/>
    </xf>
    <xf numFmtId="9" fontId="0" fillId="4" borderId="11" xfId="0" applyNumberFormat="1" applyFill="1" applyBorder="1" applyAlignment="1">
      <alignment horizontal="center"/>
    </xf>
    <xf numFmtId="9" fontId="0" fillId="4" borderId="12" xfId="0" applyNumberFormat="1" applyFill="1" applyBorder="1" applyAlignment="1">
      <alignment horizontal="center"/>
    </xf>
    <xf numFmtId="9" fontId="0" fillId="4" borderId="13" xfId="0" applyNumberFormat="1" applyFill="1" applyBorder="1" applyAlignment="1">
      <alignment horizontal="center"/>
    </xf>
    <xf numFmtId="0" fontId="5" fillId="5" borderId="1" xfId="1" applyFont="1" applyFill="1" applyBorder="1" applyAlignment="1">
      <alignment horizontal="center"/>
    </xf>
    <xf numFmtId="0" fontId="1" fillId="5" borderId="0" xfId="1" applyFill="1" applyAlignment="1">
      <alignment horizontal="center"/>
    </xf>
    <xf numFmtId="43" fontId="6" fillId="5" borderId="0" xfId="1" applyNumberFormat="1" applyFont="1" applyFill="1" applyAlignment="1">
      <alignment horizontal="center"/>
    </xf>
    <xf numFmtId="0" fontId="5" fillId="3" borderId="1" xfId="1" applyFont="1" applyFill="1" applyBorder="1" applyAlignment="1">
      <alignment horizontal="center"/>
    </xf>
    <xf numFmtId="0" fontId="1" fillId="3" borderId="0" xfId="1" applyFill="1" applyAlignment="1">
      <alignment horizontal="center"/>
    </xf>
    <xf numFmtId="43" fontId="6" fillId="3" borderId="0" xfId="1" applyNumberFormat="1" applyFont="1" applyFill="1" applyAlignment="1">
      <alignment horizontal="center"/>
    </xf>
    <xf numFmtId="0" fontId="5" fillId="6" borderId="1" xfId="1" applyFont="1" applyFill="1" applyBorder="1" applyAlignment="1">
      <alignment horizontal="center"/>
    </xf>
    <xf numFmtId="0" fontId="1" fillId="6" borderId="0" xfId="1" applyFill="1" applyAlignment="1">
      <alignment horizontal="center"/>
    </xf>
    <xf numFmtId="43" fontId="6" fillId="6" borderId="0" xfId="1" applyNumberFormat="1" applyFont="1" applyFill="1" applyAlignment="1">
      <alignment horizontal="center"/>
    </xf>
    <xf numFmtId="43" fontId="7" fillId="6" borderId="2" xfId="1" applyNumberFormat="1" applyFont="1" applyFill="1" applyBorder="1" applyAlignment="1">
      <alignment horizontal="center"/>
    </xf>
    <xf numFmtId="0" fontId="5" fillId="6" borderId="1" xfId="1" applyFont="1" applyFill="1" applyBorder="1" applyAlignment="1">
      <alignment horizontal="right"/>
    </xf>
    <xf numFmtId="0" fontId="2" fillId="0" borderId="0" xfId="1" applyFont="1"/>
    <xf numFmtId="14" fontId="30" fillId="0" borderId="0" xfId="0" applyNumberFormat="1" applyFont="1" applyAlignment="1">
      <alignment horizontal="center"/>
    </xf>
    <xf numFmtId="43" fontId="6" fillId="0" borderId="0" xfId="1" applyNumberFormat="1" applyFont="1"/>
    <xf numFmtId="49" fontId="6" fillId="5" borderId="0" xfId="1" applyNumberFormat="1" applyFont="1" applyFill="1" applyAlignment="1">
      <alignment horizontal="center"/>
    </xf>
    <xf numFmtId="43" fontId="7" fillId="5" borderId="2" xfId="1" applyNumberFormat="1" applyFont="1" applyFill="1" applyBorder="1" applyAlignment="1">
      <alignment horizontal="center"/>
    </xf>
    <xf numFmtId="0" fontId="31" fillId="0" borderId="0" xfId="0" applyFont="1" applyAlignment="1">
      <alignment horizontal="left" vertical="top"/>
    </xf>
    <xf numFmtId="0" fontId="0" fillId="0" borderId="0" xfId="0" applyAlignment="1">
      <alignment horizontal="left" vertical="top"/>
    </xf>
    <xf numFmtId="0" fontId="32" fillId="0" borderId="0" xfId="0" applyFont="1" applyAlignment="1">
      <alignment horizontal="right" vertical="top"/>
    </xf>
    <xf numFmtId="165" fontId="33" fillId="0" borderId="0" xfId="0" applyNumberFormat="1" applyFont="1" applyAlignment="1">
      <alignment horizontal="left" vertical="top"/>
    </xf>
    <xf numFmtId="3" fontId="33" fillId="0" borderId="0" xfId="0" applyNumberFormat="1" applyFont="1" applyAlignment="1">
      <alignment horizontal="right" vertical="top"/>
    </xf>
    <xf numFmtId="4" fontId="33" fillId="0" borderId="0" xfId="0" applyNumberFormat="1" applyFont="1" applyAlignment="1">
      <alignment horizontal="right" vertical="top"/>
    </xf>
    <xf numFmtId="0" fontId="31" fillId="0" borderId="0" xfId="0" applyFont="1" applyAlignment="1">
      <alignment horizontal="center" vertical="top"/>
    </xf>
    <xf numFmtId="0" fontId="32" fillId="0" borderId="0" xfId="0" applyFont="1" applyAlignment="1">
      <alignment vertical="top"/>
    </xf>
    <xf numFmtId="49" fontId="7" fillId="0" borderId="1" xfId="1" applyNumberFormat="1" applyFont="1" applyBorder="1" applyAlignment="1">
      <alignment horizontal="center"/>
    </xf>
    <xf numFmtId="43" fontId="6" fillId="0" borderId="0" xfId="46" applyFont="1" applyAlignment="1">
      <alignment horizontal="center"/>
    </xf>
    <xf numFmtId="43" fontId="7" fillId="0" borderId="1" xfId="1" applyNumberFormat="1" applyFont="1" applyBorder="1" applyAlignment="1">
      <alignment horizontal="center"/>
    </xf>
    <xf numFmtId="43" fontId="1" fillId="5" borderId="0" xfId="46" applyFont="1" applyFill="1" applyBorder="1" applyAlignment="1">
      <alignment vertical="center"/>
    </xf>
    <xf numFmtId="43" fontId="1" fillId="5" borderId="1" xfId="46" applyFont="1" applyFill="1" applyBorder="1" applyAlignment="1">
      <alignment vertical="center"/>
    </xf>
    <xf numFmtId="44" fontId="1" fillId="5" borderId="0" xfId="4" applyNumberFormat="1" applyFill="1" applyAlignment="1">
      <alignment vertical="center"/>
    </xf>
    <xf numFmtId="44" fontId="1" fillId="5" borderId="1" xfId="4" applyNumberFormat="1" applyFill="1" applyBorder="1" applyAlignment="1">
      <alignment vertical="center"/>
    </xf>
    <xf numFmtId="44" fontId="1" fillId="0" borderId="0" xfId="4" applyNumberFormat="1" applyAlignment="1">
      <alignment vertical="center"/>
    </xf>
    <xf numFmtId="44" fontId="1" fillId="0" borderId="7" xfId="4" applyNumberFormat="1" applyBorder="1" applyAlignment="1">
      <alignment vertical="center"/>
    </xf>
    <xf numFmtId="0" fontId="5" fillId="0" borderId="3" xfId="1" applyFont="1" applyBorder="1" applyAlignment="1">
      <alignment horizontal="center" vertical="center"/>
    </xf>
    <xf numFmtId="0" fontId="1" fillId="0" borderId="0" xfId="1" applyAlignment="1">
      <alignment vertical="center"/>
    </xf>
    <xf numFmtId="0" fontId="8" fillId="0" borderId="6" xfId="1" applyFont="1" applyBorder="1" applyAlignment="1">
      <alignment horizontal="center" vertical="center"/>
    </xf>
    <xf numFmtId="0" fontId="5" fillId="0" borderId="7" xfId="1" applyFont="1" applyBorder="1" applyAlignment="1">
      <alignment horizontal="center" vertical="center"/>
    </xf>
    <xf numFmtId="0" fontId="5" fillId="0" borderId="0" xfId="1" applyFont="1" applyAlignment="1">
      <alignment horizontal="center" vertical="center"/>
    </xf>
    <xf numFmtId="0" fontId="5" fillId="0" borderId="8" xfId="1" applyFont="1" applyBorder="1" applyAlignment="1">
      <alignment horizontal="center" vertical="center"/>
    </xf>
    <xf numFmtId="0" fontId="1" fillId="0" borderId="6" xfId="1" applyBorder="1" applyAlignment="1">
      <alignment vertical="center"/>
    </xf>
    <xf numFmtId="0" fontId="1" fillId="0" borderId="7" xfId="1" applyBorder="1" applyAlignment="1">
      <alignment vertical="center"/>
    </xf>
    <xf numFmtId="0" fontId="1" fillId="0" borderId="8" xfId="1" applyBorder="1" applyAlignment="1">
      <alignment vertical="center"/>
    </xf>
    <xf numFmtId="0" fontId="1" fillId="0" borderId="6" xfId="1" applyBorder="1" applyAlignment="1">
      <alignment horizontal="center" vertical="center"/>
    </xf>
    <xf numFmtId="43" fontId="1" fillId="0" borderId="7" xfId="1" applyNumberFormat="1" applyBorder="1" applyAlignment="1">
      <alignment horizontal="center" vertical="center"/>
    </xf>
    <xf numFmtId="43" fontId="1" fillId="0" borderId="0" xfId="1" applyNumberFormat="1" applyAlignment="1">
      <alignment horizontal="center" vertical="center"/>
    </xf>
    <xf numFmtId="43" fontId="1" fillId="0" borderId="8" xfId="1" applyNumberFormat="1" applyBorder="1" applyAlignment="1">
      <alignment horizontal="center" vertical="center"/>
    </xf>
    <xf numFmtId="43" fontId="1" fillId="0" borderId="8" xfId="1" applyNumberFormat="1" applyBorder="1" applyAlignment="1">
      <alignment vertical="center"/>
    </xf>
    <xf numFmtId="0" fontId="1" fillId="0" borderId="0" xfId="1" applyAlignment="1">
      <alignment horizontal="left" vertical="center"/>
    </xf>
    <xf numFmtId="4" fontId="1" fillId="0" borderId="0" xfId="1" applyNumberFormat="1" applyAlignment="1">
      <alignment vertical="center"/>
    </xf>
    <xf numFmtId="4" fontId="34" fillId="0" borderId="0" xfId="1" applyNumberFormat="1" applyFont="1" applyAlignment="1">
      <alignment vertical="center"/>
    </xf>
    <xf numFmtId="0" fontId="34" fillId="0" borderId="0" xfId="1" applyFont="1" applyAlignment="1">
      <alignment vertical="center"/>
    </xf>
    <xf numFmtId="0" fontId="1" fillId="0" borderId="0" xfId="1" applyAlignment="1">
      <alignment horizontal="center" vertical="center"/>
    </xf>
    <xf numFmtId="0" fontId="9" fillId="0" borderId="9" xfId="1" applyFont="1" applyBorder="1" applyAlignment="1">
      <alignment horizontal="center" vertical="center"/>
    </xf>
    <xf numFmtId="164" fontId="9" fillId="0" borderId="4" xfId="1" applyNumberFormat="1" applyFont="1" applyBorder="1" applyAlignment="1">
      <alignment vertical="center"/>
    </xf>
    <xf numFmtId="0" fontId="10" fillId="0" borderId="0" xfId="1" applyFont="1" applyAlignment="1">
      <alignment horizontal="center" vertical="center"/>
    </xf>
    <xf numFmtId="164" fontId="10" fillId="0" borderId="0" xfId="1" applyNumberFormat="1" applyFont="1" applyAlignment="1">
      <alignment vertical="center"/>
    </xf>
    <xf numFmtId="0" fontId="5" fillId="0" borderId="3" xfId="1" applyFont="1" applyBorder="1" applyAlignment="1">
      <alignment vertical="center"/>
    </xf>
    <xf numFmtId="43" fontId="1" fillId="0" borderId="0" xfId="1" applyNumberFormat="1" applyAlignment="1">
      <alignment vertical="center"/>
    </xf>
    <xf numFmtId="43" fontId="1" fillId="0" borderId="7" xfId="1" applyNumberFormat="1" applyBorder="1" applyAlignment="1">
      <alignment vertical="center"/>
    </xf>
    <xf numFmtId="164" fontId="9" fillId="0" borderId="7" xfId="1" applyNumberFormat="1" applyFont="1" applyBorder="1" applyAlignment="1">
      <alignment vertical="center"/>
    </xf>
    <xf numFmtId="164" fontId="1" fillId="0" borderId="0" xfId="1" applyNumberFormat="1" applyAlignment="1">
      <alignment vertical="center"/>
    </xf>
    <xf numFmtId="164" fontId="9" fillId="0" borderId="2" xfId="1" applyNumberFormat="1" applyFont="1" applyBorder="1" applyAlignment="1">
      <alignment vertical="center"/>
    </xf>
    <xf numFmtId="164" fontId="9" fillId="0" borderId="5" xfId="1" applyNumberFormat="1" applyFont="1" applyBorder="1" applyAlignment="1">
      <alignment vertical="center"/>
    </xf>
    <xf numFmtId="164" fontId="9" fillId="0" borderId="9" xfId="1" applyNumberFormat="1" applyFont="1" applyBorder="1" applyAlignment="1">
      <alignment vertical="center"/>
    </xf>
    <xf numFmtId="9" fontId="0" fillId="0" borderId="0" xfId="0" applyNumberFormat="1" applyAlignment="1">
      <alignment horizontal="center"/>
    </xf>
    <xf numFmtId="0" fontId="1" fillId="0" borderId="0" xfId="1" applyAlignment="1">
      <alignment horizontal="center"/>
    </xf>
    <xf numFmtId="0" fontId="2" fillId="2" borderId="0" xfId="1" applyFont="1" applyFill="1" applyAlignment="1">
      <alignment horizontal="center"/>
    </xf>
    <xf numFmtId="0" fontId="3" fillId="2" borderId="0" xfId="1" applyFont="1" applyFill="1" applyAlignment="1">
      <alignment horizontal="center"/>
    </xf>
    <xf numFmtId="0" fontId="4" fillId="2" borderId="0" xfId="1" applyFont="1" applyFill="1" applyAlignment="1">
      <alignment horizontal="center" wrapText="1"/>
    </xf>
    <xf numFmtId="0" fontId="1" fillId="3" borderId="0" xfId="1" applyFill="1" applyAlignment="1">
      <alignment horizontal="center" wrapText="1"/>
    </xf>
    <xf numFmtId="0" fontId="4" fillId="2" borderId="0" xfId="1" applyFont="1" applyFill="1" applyAlignment="1">
      <alignment horizontal="center" vertical="center" wrapText="1"/>
    </xf>
    <xf numFmtId="0" fontId="4" fillId="2" borderId="0" xfId="1" applyFont="1" applyFill="1" applyAlignment="1">
      <alignment horizontal="center" vertical="top" wrapText="1"/>
    </xf>
    <xf numFmtId="0" fontId="5" fillId="0" borderId="4" xfId="1" applyFont="1" applyBorder="1" applyAlignment="1">
      <alignment horizontal="center" vertical="center"/>
    </xf>
    <xf numFmtId="0" fontId="5" fillId="0" borderId="2" xfId="1" applyFont="1" applyBorder="1" applyAlignment="1">
      <alignment horizontal="center" vertical="center"/>
    </xf>
    <xf numFmtId="0" fontId="5" fillId="0" borderId="5" xfId="1" applyFont="1" applyBorder="1" applyAlignment="1">
      <alignment horizontal="center" vertical="center"/>
    </xf>
    <xf numFmtId="0" fontId="1" fillId="0" borderId="2" xfId="1" applyBorder="1" applyAlignment="1">
      <alignment vertical="center"/>
    </xf>
    <xf numFmtId="0" fontId="1" fillId="0" borderId="5" xfId="1" applyBorder="1" applyAlignment="1">
      <alignment vertical="center"/>
    </xf>
  </cellXfs>
  <cellStyles count="47">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1" builtinId="27" customBuiltin="1"/>
    <cellStyle name="Calculation" xfId="15" builtinId="22" customBuiltin="1"/>
    <cellStyle name="Check Cell" xfId="17" builtinId="23" customBuiltin="1"/>
    <cellStyle name="Comma" xfId="46" builtinId="3"/>
    <cellStyle name="Comma 3 2" xfId="3" xr:uid="{00000000-0005-0000-0000-000000000000}"/>
    <cellStyle name="Currency 3 2" xfId="2" xr:uid="{00000000-0005-0000-0000-000001000000}"/>
    <cellStyle name="Explanatory Text" xfId="20"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2" xfId="1" xr:uid="{00000000-0005-0000-0000-000003000000}"/>
    <cellStyle name="Normal 2 3" xfId="4" xr:uid="{631969B2-832A-446A-8943-BAA7FF6831F8}"/>
    <cellStyle name="Note" xfId="19" builtinId="10" customBuiltin="1"/>
    <cellStyle name="Output" xfId="14" builtinId="21" customBuiltin="1"/>
    <cellStyle name="Title" xfId="5" builtinId="15" customBuiltin="1"/>
    <cellStyle name="Total" xfId="21" builtinId="25" customBuiltin="1"/>
    <cellStyle name="Warning Text" xfId="18" builtinId="11" customBuiltin="1"/>
  </cellStyles>
  <dxfs count="0"/>
  <tableStyles count="1" defaultTableStyle="TableStyleMedium2" defaultPivotStyle="PivotStyleLight16">
    <tableStyle name="Invisible" pivot="0" table="0" count="0" xr9:uid="{3B3BF081-8351-4A96-AEA9-7F6F3FA3310E}"/>
  </tableStyles>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34491-25E0-408C-B192-C5AEB0B161AE}">
  <sheetPr>
    <tabColor theme="7" tint="0.59999389629810485"/>
    <pageSetUpPr fitToPage="1"/>
  </sheetPr>
  <dimension ref="A1:F29"/>
  <sheetViews>
    <sheetView workbookViewId="0"/>
  </sheetViews>
  <sheetFormatPr defaultRowHeight="15" x14ac:dyDescent="0.25"/>
  <cols>
    <col min="1" max="1" width="70.42578125" customWidth="1"/>
    <col min="2" max="2" width="23.7109375" customWidth="1"/>
    <col min="3" max="6" width="5.85546875" style="25" bestFit="1" customWidth="1"/>
  </cols>
  <sheetData>
    <row r="1" spans="1:6" x14ac:dyDescent="0.25">
      <c r="C1" s="98" t="s">
        <v>54</v>
      </c>
      <c r="D1" s="98"/>
      <c r="E1" s="98" t="s">
        <v>57</v>
      </c>
      <c r="F1" s="98"/>
    </row>
    <row r="2" spans="1:6" ht="15.75" thickBot="1" x14ac:dyDescent="0.3">
      <c r="C2" s="25" t="s">
        <v>55</v>
      </c>
      <c r="D2" s="25" t="s">
        <v>56</v>
      </c>
      <c r="E2" s="25" t="s">
        <v>55</v>
      </c>
      <c r="F2" s="25" t="s">
        <v>56</v>
      </c>
    </row>
    <row r="3" spans="1:6" x14ac:dyDescent="0.25">
      <c r="A3" s="26" t="s">
        <v>64</v>
      </c>
      <c r="B3" s="27" t="s">
        <v>116</v>
      </c>
      <c r="C3" s="30"/>
      <c r="D3" s="31">
        <v>1</v>
      </c>
      <c r="E3" s="30"/>
      <c r="F3" s="31">
        <v>1</v>
      </c>
    </row>
    <row r="4" spans="1:6" x14ac:dyDescent="0.25">
      <c r="A4" s="26" t="s">
        <v>59</v>
      </c>
      <c r="B4" s="27" t="s">
        <v>117</v>
      </c>
      <c r="C4" s="32">
        <v>1</v>
      </c>
      <c r="D4" s="33"/>
      <c r="E4" s="32"/>
      <c r="F4" s="33">
        <v>1</v>
      </c>
    </row>
    <row r="5" spans="1:6" x14ac:dyDescent="0.25">
      <c r="A5" s="26" t="s">
        <v>58</v>
      </c>
      <c r="B5" s="27"/>
      <c r="C5" s="32">
        <v>1</v>
      </c>
      <c r="D5" s="33"/>
      <c r="E5" s="32">
        <v>0.76</v>
      </c>
      <c r="F5" s="33">
        <v>0.24</v>
      </c>
    </row>
    <row r="6" spans="1:6" x14ac:dyDescent="0.25">
      <c r="A6" s="26" t="s">
        <v>60</v>
      </c>
      <c r="B6" s="27" t="s">
        <v>118</v>
      </c>
      <c r="C6" s="32">
        <v>1</v>
      </c>
      <c r="D6" s="33"/>
      <c r="E6" s="32">
        <v>1</v>
      </c>
      <c r="F6" s="33"/>
    </row>
    <row r="7" spans="1:6" x14ac:dyDescent="0.25">
      <c r="A7" s="26" t="s">
        <v>61</v>
      </c>
      <c r="B7" s="27" t="s">
        <v>111</v>
      </c>
      <c r="C7" s="32">
        <v>1</v>
      </c>
      <c r="D7" s="33"/>
      <c r="E7" s="32"/>
      <c r="F7" s="33">
        <v>1</v>
      </c>
    </row>
    <row r="8" spans="1:6" x14ac:dyDescent="0.25">
      <c r="A8" s="26" t="s">
        <v>62</v>
      </c>
      <c r="B8" s="27" t="s">
        <v>111</v>
      </c>
      <c r="C8" s="32">
        <v>1</v>
      </c>
      <c r="D8" s="33"/>
      <c r="E8" s="32"/>
      <c r="F8" s="33">
        <v>1</v>
      </c>
    </row>
    <row r="9" spans="1:6" x14ac:dyDescent="0.25">
      <c r="A9" s="26" t="s">
        <v>63</v>
      </c>
      <c r="B9" s="27" t="s">
        <v>109</v>
      </c>
      <c r="C9" s="32">
        <v>1</v>
      </c>
      <c r="D9" s="33"/>
      <c r="E9" s="32">
        <v>1</v>
      </c>
      <c r="F9" s="33"/>
    </row>
    <row r="10" spans="1:6" x14ac:dyDescent="0.25">
      <c r="A10" s="26" t="s">
        <v>65</v>
      </c>
      <c r="B10" s="27" t="s">
        <v>110</v>
      </c>
      <c r="C10" s="32">
        <v>1</v>
      </c>
      <c r="D10" s="33"/>
      <c r="E10" s="32">
        <v>0.43</v>
      </c>
      <c r="F10" s="33">
        <v>0.56999999999999995</v>
      </c>
    </row>
    <row r="11" spans="1:6" x14ac:dyDescent="0.25">
      <c r="A11" s="26" t="s">
        <v>66</v>
      </c>
      <c r="B11" s="27" t="s">
        <v>109</v>
      </c>
      <c r="C11" s="32">
        <v>1</v>
      </c>
      <c r="D11" s="33"/>
      <c r="E11" s="32">
        <v>1</v>
      </c>
      <c r="F11" s="33"/>
    </row>
    <row r="12" spans="1:6" x14ac:dyDescent="0.25">
      <c r="A12" s="26" t="s">
        <v>67</v>
      </c>
      <c r="B12" s="27" t="s">
        <v>111</v>
      </c>
      <c r="C12" s="32">
        <v>1</v>
      </c>
      <c r="D12" s="33"/>
      <c r="E12" s="32"/>
      <c r="F12" s="33">
        <v>1</v>
      </c>
    </row>
    <row r="13" spans="1:6" x14ac:dyDescent="0.25">
      <c r="A13" s="26" t="s">
        <v>68</v>
      </c>
      <c r="B13" s="27" t="s">
        <v>112</v>
      </c>
      <c r="C13" s="32">
        <v>1</v>
      </c>
      <c r="D13" s="33"/>
      <c r="E13" s="32">
        <v>1</v>
      </c>
      <c r="F13" s="33"/>
    </row>
    <row r="14" spans="1:6" x14ac:dyDescent="0.25">
      <c r="A14" s="26" t="s">
        <v>102</v>
      </c>
      <c r="B14" s="27" t="s">
        <v>111</v>
      </c>
      <c r="C14" s="32">
        <v>1</v>
      </c>
      <c r="D14" s="33"/>
      <c r="E14" s="32"/>
      <c r="F14" s="33">
        <v>1</v>
      </c>
    </row>
    <row r="15" spans="1:6" x14ac:dyDescent="0.25">
      <c r="A15" s="26" t="s">
        <v>103</v>
      </c>
      <c r="B15" s="27"/>
      <c r="C15" s="32">
        <v>1</v>
      </c>
      <c r="D15" s="33"/>
      <c r="E15" s="32"/>
      <c r="F15" s="33">
        <v>1</v>
      </c>
    </row>
    <row r="16" spans="1:6" x14ac:dyDescent="0.25">
      <c r="A16" s="26" t="s">
        <v>104</v>
      </c>
      <c r="B16" s="27" t="s">
        <v>115</v>
      </c>
      <c r="C16" s="32">
        <v>1</v>
      </c>
      <c r="D16" s="33"/>
      <c r="E16" s="32">
        <v>1</v>
      </c>
      <c r="F16" s="33"/>
    </row>
    <row r="17" spans="1:6" x14ac:dyDescent="0.25">
      <c r="A17" s="26" t="s">
        <v>105</v>
      </c>
      <c r="B17" s="27"/>
      <c r="C17" s="32">
        <v>1</v>
      </c>
      <c r="D17" s="33"/>
      <c r="E17" s="32"/>
      <c r="F17" s="33">
        <v>1</v>
      </c>
    </row>
    <row r="18" spans="1:6" x14ac:dyDescent="0.25">
      <c r="A18" s="26" t="s">
        <v>106</v>
      </c>
      <c r="B18" s="27" t="s">
        <v>114</v>
      </c>
      <c r="C18" s="32">
        <v>1</v>
      </c>
      <c r="D18" s="33"/>
      <c r="E18" s="32">
        <v>0.62</v>
      </c>
      <c r="F18" s="33">
        <v>0.38</v>
      </c>
    </row>
    <row r="19" spans="1:6" x14ac:dyDescent="0.25">
      <c r="A19" s="26" t="s">
        <v>107</v>
      </c>
      <c r="B19" s="27" t="s">
        <v>113</v>
      </c>
      <c r="C19" s="32">
        <v>1</v>
      </c>
      <c r="D19" s="33"/>
      <c r="E19" s="32">
        <v>0.77</v>
      </c>
      <c r="F19" s="33">
        <v>0.23</v>
      </c>
    </row>
    <row r="20" spans="1:6" x14ac:dyDescent="0.25">
      <c r="A20" s="26" t="s">
        <v>108</v>
      </c>
      <c r="B20" s="27" t="s">
        <v>111</v>
      </c>
      <c r="C20" s="32">
        <v>1</v>
      </c>
      <c r="D20" s="33"/>
      <c r="E20" s="32"/>
      <c r="F20" s="33">
        <v>1</v>
      </c>
    </row>
    <row r="21" spans="1:6" x14ac:dyDescent="0.25">
      <c r="A21" s="26"/>
      <c r="B21" s="27"/>
      <c r="C21" s="28"/>
      <c r="D21" s="29"/>
      <c r="E21" s="28"/>
      <c r="F21" s="29"/>
    </row>
    <row r="22" spans="1:6" x14ac:dyDescent="0.25">
      <c r="A22" s="26"/>
      <c r="B22" s="27"/>
      <c r="C22" s="28"/>
      <c r="D22" s="29"/>
      <c r="E22" s="28"/>
      <c r="F22" s="29"/>
    </row>
    <row r="23" spans="1:6" x14ac:dyDescent="0.25">
      <c r="A23" s="26"/>
      <c r="B23" s="27"/>
      <c r="C23" s="28"/>
      <c r="D23" s="29"/>
      <c r="E23" s="28"/>
      <c r="F23" s="29"/>
    </row>
    <row r="24" spans="1:6" x14ac:dyDescent="0.25">
      <c r="A24" s="26"/>
      <c r="B24" s="27"/>
      <c r="C24" s="28"/>
      <c r="D24" s="29"/>
      <c r="E24" s="28"/>
      <c r="F24" s="29"/>
    </row>
    <row r="25" spans="1:6" x14ac:dyDescent="0.25">
      <c r="A25" s="26"/>
      <c r="B25" s="27"/>
      <c r="C25" s="28"/>
      <c r="D25" s="29"/>
      <c r="E25" s="28"/>
      <c r="F25" s="29"/>
    </row>
    <row r="26" spans="1:6" x14ac:dyDescent="0.25">
      <c r="A26" s="26"/>
      <c r="B26" s="27"/>
      <c r="C26" s="28"/>
      <c r="D26" s="29"/>
      <c r="E26" s="28"/>
      <c r="F26" s="29"/>
    </row>
    <row r="27" spans="1:6" x14ac:dyDescent="0.25">
      <c r="A27" s="26"/>
      <c r="B27" s="27"/>
      <c r="C27" s="28"/>
      <c r="D27" s="29"/>
      <c r="E27" s="28"/>
      <c r="F27" s="29"/>
    </row>
    <row r="28" spans="1:6" x14ac:dyDescent="0.25">
      <c r="A28" s="26"/>
      <c r="B28" s="27"/>
      <c r="C28" s="28"/>
      <c r="D28" s="29"/>
      <c r="E28" s="28"/>
      <c r="F28" s="29"/>
    </row>
    <row r="29" spans="1:6" x14ac:dyDescent="0.25">
      <c r="A29" s="26"/>
      <c r="B29" s="27"/>
      <c r="C29" s="28"/>
      <c r="D29" s="29"/>
      <c r="E29" s="28"/>
      <c r="F29" s="29"/>
    </row>
  </sheetData>
  <mergeCells count="2">
    <mergeCell ref="C1:D1"/>
    <mergeCell ref="E1:F1"/>
  </mergeCells>
  <pageMargins left="0.5" right="0.5" top="0.75" bottom="0.75" header="0.3" footer="0.3"/>
  <pageSetup scale="8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4"/>
  <sheetViews>
    <sheetView workbookViewId="0">
      <selection activeCell="H34" sqref="H34"/>
    </sheetView>
  </sheetViews>
  <sheetFormatPr defaultRowHeight="12.75" x14ac:dyDescent="0.2"/>
  <cols>
    <col min="1" max="4" width="25" style="12" customWidth="1"/>
    <col min="5" max="254" width="9.140625" style="1"/>
    <col min="255" max="259" width="18.5703125" style="1" customWidth="1"/>
    <col min="260" max="510" width="9.140625" style="1"/>
    <col min="511" max="515" width="18.5703125" style="1" customWidth="1"/>
    <col min="516" max="766" width="9.140625" style="1"/>
    <col min="767" max="771" width="18.5703125" style="1" customWidth="1"/>
    <col min="772" max="1022" width="9.140625" style="1"/>
    <col min="1023" max="1027" width="18.5703125" style="1" customWidth="1"/>
    <col min="1028" max="1278" width="9.140625" style="1"/>
    <col min="1279" max="1283" width="18.5703125" style="1" customWidth="1"/>
    <col min="1284" max="1534" width="9.140625" style="1"/>
    <col min="1535" max="1539" width="18.5703125" style="1" customWidth="1"/>
    <col min="1540" max="1790" width="9.140625" style="1"/>
    <col min="1791" max="1795" width="18.5703125" style="1" customWidth="1"/>
    <col min="1796" max="2046" width="9.140625" style="1"/>
    <col min="2047" max="2051" width="18.5703125" style="1" customWidth="1"/>
    <col min="2052" max="2302" width="9.140625" style="1"/>
    <col min="2303" max="2307" width="18.5703125" style="1" customWidth="1"/>
    <col min="2308" max="2558" width="9.140625" style="1"/>
    <col min="2559" max="2563" width="18.5703125" style="1" customWidth="1"/>
    <col min="2564" max="2814" width="9.140625" style="1"/>
    <col min="2815" max="2819" width="18.5703125" style="1" customWidth="1"/>
    <col min="2820" max="3070" width="9.140625" style="1"/>
    <col min="3071" max="3075" width="18.5703125" style="1" customWidth="1"/>
    <col min="3076" max="3326" width="9.140625" style="1"/>
    <col min="3327" max="3331" width="18.5703125" style="1" customWidth="1"/>
    <col min="3332" max="3582" width="9.140625" style="1"/>
    <col min="3583" max="3587" width="18.5703125" style="1" customWidth="1"/>
    <col min="3588" max="3838" width="9.140625" style="1"/>
    <col min="3839" max="3843" width="18.5703125" style="1" customWidth="1"/>
    <col min="3844" max="4094" width="9.140625" style="1"/>
    <col min="4095" max="4099" width="18.5703125" style="1" customWidth="1"/>
    <col min="4100" max="4350" width="9.140625" style="1"/>
    <col min="4351" max="4355" width="18.5703125" style="1" customWidth="1"/>
    <col min="4356" max="4606" width="9.140625" style="1"/>
    <col min="4607" max="4611" width="18.5703125" style="1" customWidth="1"/>
    <col min="4612" max="4862" width="9.140625" style="1"/>
    <col min="4863" max="4867" width="18.5703125" style="1" customWidth="1"/>
    <col min="4868" max="5118" width="9.140625" style="1"/>
    <col min="5119" max="5123" width="18.5703125" style="1" customWidth="1"/>
    <col min="5124" max="5374" width="9.140625" style="1"/>
    <col min="5375" max="5379" width="18.5703125" style="1" customWidth="1"/>
    <col min="5380" max="5630" width="9.140625" style="1"/>
    <col min="5631" max="5635" width="18.5703125" style="1" customWidth="1"/>
    <col min="5636" max="5886" width="9.140625" style="1"/>
    <col min="5887" max="5891" width="18.5703125" style="1" customWidth="1"/>
    <col min="5892" max="6142" width="9.140625" style="1"/>
    <col min="6143" max="6147" width="18.5703125" style="1" customWidth="1"/>
    <col min="6148" max="6398" width="9.140625" style="1"/>
    <col min="6399" max="6403" width="18.5703125" style="1" customWidth="1"/>
    <col min="6404" max="6654" width="9.140625" style="1"/>
    <col min="6655" max="6659" width="18.5703125" style="1" customWidth="1"/>
    <col min="6660" max="6910" width="9.140625" style="1"/>
    <col min="6911" max="6915" width="18.5703125" style="1" customWidth="1"/>
    <col min="6916" max="7166" width="9.140625" style="1"/>
    <col min="7167" max="7171" width="18.5703125" style="1" customWidth="1"/>
    <col min="7172" max="7422" width="9.140625" style="1"/>
    <col min="7423" max="7427" width="18.5703125" style="1" customWidth="1"/>
    <col min="7428" max="7678" width="9.140625" style="1"/>
    <col min="7679" max="7683" width="18.5703125" style="1" customWidth="1"/>
    <col min="7684" max="7934" width="9.140625" style="1"/>
    <col min="7935" max="7939" width="18.5703125" style="1" customWidth="1"/>
    <col min="7940" max="8190" width="9.140625" style="1"/>
    <col min="8191" max="8195" width="18.5703125" style="1" customWidth="1"/>
    <col min="8196" max="8446" width="9.140625" style="1"/>
    <col min="8447" max="8451" width="18.5703125" style="1" customWidth="1"/>
    <col min="8452" max="8702" width="9.140625" style="1"/>
    <col min="8703" max="8707" width="18.5703125" style="1" customWidth="1"/>
    <col min="8708" max="8958" width="9.140625" style="1"/>
    <col min="8959" max="8963" width="18.5703125" style="1" customWidth="1"/>
    <col min="8964" max="9214" width="9.140625" style="1"/>
    <col min="9215" max="9219" width="18.5703125" style="1" customWidth="1"/>
    <col min="9220" max="9470" width="9.140625" style="1"/>
    <col min="9471" max="9475" width="18.5703125" style="1" customWidth="1"/>
    <col min="9476" max="9726" width="9.140625" style="1"/>
    <col min="9727" max="9731" width="18.5703125" style="1" customWidth="1"/>
    <col min="9732" max="9982" width="9.140625" style="1"/>
    <col min="9983" max="9987" width="18.5703125" style="1" customWidth="1"/>
    <col min="9988" max="10238" width="9.140625" style="1"/>
    <col min="10239" max="10243" width="18.5703125" style="1" customWidth="1"/>
    <col min="10244" max="10494" width="9.140625" style="1"/>
    <col min="10495" max="10499" width="18.5703125" style="1" customWidth="1"/>
    <col min="10500" max="10750" width="9.140625" style="1"/>
    <col min="10751" max="10755" width="18.5703125" style="1" customWidth="1"/>
    <col min="10756" max="11006" width="9.140625" style="1"/>
    <col min="11007" max="11011" width="18.5703125" style="1" customWidth="1"/>
    <col min="11012" max="11262" width="9.140625" style="1"/>
    <col min="11263" max="11267" width="18.5703125" style="1" customWidth="1"/>
    <col min="11268" max="11518" width="9.140625" style="1"/>
    <col min="11519" max="11523" width="18.5703125" style="1" customWidth="1"/>
    <col min="11524" max="11774" width="9.140625" style="1"/>
    <col min="11775" max="11779" width="18.5703125" style="1" customWidth="1"/>
    <col min="11780" max="12030" width="9.140625" style="1"/>
    <col min="12031" max="12035" width="18.5703125" style="1" customWidth="1"/>
    <col min="12036" max="12286" width="9.140625" style="1"/>
    <col min="12287" max="12291" width="18.5703125" style="1" customWidth="1"/>
    <col min="12292" max="12542" width="9.140625" style="1"/>
    <col min="12543" max="12547" width="18.5703125" style="1" customWidth="1"/>
    <col min="12548" max="12798" width="9.140625" style="1"/>
    <col min="12799" max="12803" width="18.5703125" style="1" customWidth="1"/>
    <col min="12804" max="13054" width="9.140625" style="1"/>
    <col min="13055" max="13059" width="18.5703125" style="1" customWidth="1"/>
    <col min="13060" max="13310" width="9.140625" style="1"/>
    <col min="13311" max="13315" width="18.5703125" style="1" customWidth="1"/>
    <col min="13316" max="13566" width="9.140625" style="1"/>
    <col min="13567" max="13571" width="18.5703125" style="1" customWidth="1"/>
    <col min="13572" max="13822" width="9.140625" style="1"/>
    <col min="13823" max="13827" width="18.5703125" style="1" customWidth="1"/>
    <col min="13828" max="14078" width="9.140625" style="1"/>
    <col min="14079" max="14083" width="18.5703125" style="1" customWidth="1"/>
    <col min="14084" max="14334" width="9.140625" style="1"/>
    <col min="14335" max="14339" width="18.5703125" style="1" customWidth="1"/>
    <col min="14340" max="14590" width="9.140625" style="1"/>
    <col min="14591" max="14595" width="18.5703125" style="1" customWidth="1"/>
    <col min="14596" max="14846" width="9.140625" style="1"/>
    <col min="14847" max="14851" width="18.5703125" style="1" customWidth="1"/>
    <col min="14852" max="15102" width="9.140625" style="1"/>
    <col min="15103" max="15107" width="18.5703125" style="1" customWidth="1"/>
    <col min="15108" max="15358" width="9.140625" style="1"/>
    <col min="15359" max="15363" width="18.5703125" style="1" customWidth="1"/>
    <col min="15364" max="15614" width="9.140625" style="1"/>
    <col min="15615" max="15619" width="18.5703125" style="1" customWidth="1"/>
    <col min="15620" max="15870" width="9.140625" style="1"/>
    <col min="15871" max="15875" width="18.5703125" style="1" customWidth="1"/>
    <col min="15876" max="16126" width="9.140625" style="1"/>
    <col min="16127" max="16131" width="18.5703125" style="1" customWidth="1"/>
    <col min="16132" max="16384" width="9.140625" style="1"/>
  </cols>
  <sheetData>
    <row r="1" spans="1:8" ht="15" customHeight="1" x14ac:dyDescent="0.25">
      <c r="A1" s="100" t="s">
        <v>0</v>
      </c>
      <c r="B1" s="100"/>
      <c r="C1" s="100"/>
      <c r="D1" s="100"/>
    </row>
    <row r="2" spans="1:8" ht="15" customHeight="1" x14ac:dyDescent="0.25">
      <c r="A2" s="100" t="s">
        <v>154</v>
      </c>
      <c r="B2" s="100"/>
      <c r="C2" s="100"/>
      <c r="D2" s="100"/>
      <c r="E2" s="45"/>
      <c r="F2" s="45"/>
      <c r="G2" s="45"/>
      <c r="H2" s="45"/>
    </row>
    <row r="3" spans="1:8" ht="15" customHeight="1" x14ac:dyDescent="0.25">
      <c r="A3" s="101" t="s">
        <v>1</v>
      </c>
      <c r="B3" s="101"/>
      <c r="C3" s="101"/>
      <c r="D3" s="101"/>
    </row>
    <row r="4" spans="1:8" ht="15" customHeight="1" x14ac:dyDescent="0.25">
      <c r="A4" s="101" t="s">
        <v>92</v>
      </c>
      <c r="B4" s="101"/>
      <c r="C4" s="101"/>
      <c r="D4" s="101"/>
    </row>
    <row r="5" spans="1:8" ht="15" customHeight="1" x14ac:dyDescent="0.25">
      <c r="A5" s="101" t="s">
        <v>50</v>
      </c>
      <c r="B5" s="101"/>
      <c r="C5" s="101"/>
      <c r="D5" s="101"/>
    </row>
    <row r="6" spans="1:8" ht="8.25" customHeight="1" x14ac:dyDescent="0.2">
      <c r="A6" s="104" t="s">
        <v>86</v>
      </c>
      <c r="B6" s="104"/>
      <c r="C6" s="104"/>
      <c r="D6" s="104"/>
    </row>
    <row r="7" spans="1:8" ht="15" customHeight="1" x14ac:dyDescent="0.2">
      <c r="A7" s="104"/>
      <c r="B7" s="104"/>
      <c r="C7" s="104"/>
      <c r="D7" s="104"/>
    </row>
    <row r="8" spans="1:8" ht="23.25" customHeight="1" x14ac:dyDescent="0.2">
      <c r="A8" s="104"/>
      <c r="B8" s="104"/>
      <c r="C8" s="104"/>
      <c r="D8" s="104"/>
    </row>
    <row r="9" spans="1:8" ht="15" customHeight="1" x14ac:dyDescent="0.2">
      <c r="A9" s="103" t="s">
        <v>121</v>
      </c>
      <c r="B9" s="103"/>
      <c r="C9" s="103"/>
      <c r="D9" s="103"/>
    </row>
    <row r="10" spans="1:8" ht="9" customHeight="1" x14ac:dyDescent="0.2">
      <c r="A10" s="22"/>
      <c r="B10" s="22"/>
      <c r="C10" s="22"/>
      <c r="D10" s="22"/>
    </row>
    <row r="11" spans="1:8" ht="9" customHeight="1" x14ac:dyDescent="0.2">
      <c r="A11" s="99"/>
      <c r="B11" s="99"/>
      <c r="C11" s="99"/>
      <c r="D11" s="99"/>
    </row>
    <row r="12" spans="1:8" x14ac:dyDescent="0.2">
      <c r="A12" s="3" t="s">
        <v>43</v>
      </c>
      <c r="B12" s="20" t="s">
        <v>44</v>
      </c>
      <c r="C12" s="20" t="s">
        <v>45</v>
      </c>
      <c r="D12" s="20" t="s">
        <v>46</v>
      </c>
    </row>
    <row r="13" spans="1:8" ht="8.25" customHeight="1" x14ac:dyDescent="0.2"/>
    <row r="14" spans="1:8" s="5" customFormat="1" ht="12" customHeight="1" x14ac:dyDescent="0.2">
      <c r="A14" s="4" t="s">
        <v>6</v>
      </c>
      <c r="B14" s="15">
        <v>300000</v>
      </c>
      <c r="C14" s="15">
        <f>9990+6750</f>
        <v>16740</v>
      </c>
      <c r="D14" s="15">
        <f t="shared" ref="D14:D16" si="0">+B14+C14</f>
        <v>316740</v>
      </c>
    </row>
    <row r="15" spans="1:8" s="5" customFormat="1" ht="12" customHeight="1" x14ac:dyDescent="0.2">
      <c r="A15" s="4" t="s">
        <v>7</v>
      </c>
      <c r="B15" s="15">
        <v>310000</v>
      </c>
      <c r="C15" s="15">
        <f>6750+3402</f>
        <v>10152</v>
      </c>
      <c r="D15" s="15">
        <f t="shared" si="0"/>
        <v>320152</v>
      </c>
    </row>
    <row r="16" spans="1:8" s="5" customFormat="1" ht="12" customHeight="1" x14ac:dyDescent="0.2">
      <c r="A16" s="4" t="s">
        <v>8</v>
      </c>
      <c r="B16" s="15">
        <v>315000</v>
      </c>
      <c r="C16" s="15">
        <v>3402</v>
      </c>
      <c r="D16" s="15">
        <f t="shared" si="0"/>
        <v>318402</v>
      </c>
    </row>
    <row r="17" spans="1:4" s="5" customFormat="1" ht="12" customHeight="1" x14ac:dyDescent="0.2">
      <c r="A17" s="6" t="s">
        <v>4</v>
      </c>
      <c r="B17" s="16">
        <f>SUM(B13:B16)</f>
        <v>925000</v>
      </c>
      <c r="C17" s="16">
        <f>SUM(C13:C16)</f>
        <v>30294</v>
      </c>
      <c r="D17" s="16">
        <f>SUM(D13:D16)</f>
        <v>955294</v>
      </c>
    </row>
    <row r="18" spans="1:4" ht="11.25" customHeight="1" x14ac:dyDescent="0.2">
      <c r="A18" s="7"/>
      <c r="C18" s="9"/>
      <c r="D18" s="9"/>
    </row>
    <row r="19" spans="1:4" ht="11.25" customHeight="1" x14ac:dyDescent="0.2">
      <c r="A19" s="7"/>
      <c r="B19" s="9"/>
      <c r="C19" s="9"/>
      <c r="D19" s="9"/>
    </row>
    <row r="20" spans="1:4" ht="11.25" customHeight="1" x14ac:dyDescent="0.2">
      <c r="A20" s="7"/>
      <c r="B20" s="9"/>
      <c r="C20" s="9"/>
      <c r="D20" s="9"/>
    </row>
    <row r="21" spans="1:4" ht="11.25" customHeight="1" x14ac:dyDescent="0.2">
      <c r="A21" s="7"/>
      <c r="B21" s="9"/>
      <c r="C21" s="9"/>
      <c r="D21" s="9"/>
    </row>
    <row r="22" spans="1:4" ht="11.25" customHeight="1" x14ac:dyDescent="0.2">
      <c r="A22" s="7"/>
      <c r="B22" s="9"/>
      <c r="C22" s="9"/>
      <c r="D22" s="9"/>
    </row>
    <row r="23" spans="1:4" ht="11.25" customHeight="1" x14ac:dyDescent="0.2">
      <c r="A23" s="7"/>
      <c r="B23" s="9"/>
      <c r="C23" s="9"/>
      <c r="D23" s="9"/>
    </row>
    <row r="24" spans="1:4" ht="11.25" customHeight="1" x14ac:dyDescent="0.2">
      <c r="A24" s="7"/>
      <c r="B24" s="9"/>
      <c r="C24" s="9"/>
      <c r="D24" s="9"/>
    </row>
    <row r="25" spans="1:4" x14ac:dyDescent="0.2">
      <c r="A25" s="7"/>
      <c r="B25" s="17"/>
      <c r="C25" s="17"/>
      <c r="D25" s="17"/>
    </row>
    <row r="26" spans="1:4" x14ac:dyDescent="0.2">
      <c r="A26" s="7"/>
      <c r="B26" s="17"/>
      <c r="C26" s="17"/>
      <c r="D26" s="17"/>
    </row>
    <row r="27" spans="1:4" x14ac:dyDescent="0.2">
      <c r="A27" s="7"/>
      <c r="B27" s="17"/>
      <c r="C27" s="17"/>
      <c r="D27" s="17"/>
    </row>
    <row r="28" spans="1:4" x14ac:dyDescent="0.2">
      <c r="A28" s="7"/>
      <c r="B28" s="17"/>
      <c r="C28" s="17"/>
      <c r="D28" s="17"/>
    </row>
    <row r="29" spans="1:4" x14ac:dyDescent="0.2">
      <c r="A29" s="7"/>
      <c r="B29" s="17"/>
      <c r="C29" s="17"/>
      <c r="D29" s="17"/>
    </row>
    <row r="30" spans="1:4" x14ac:dyDescent="0.2">
      <c r="A30" s="7"/>
      <c r="B30" s="17"/>
      <c r="C30" s="17"/>
      <c r="D30" s="17"/>
    </row>
    <row r="31" spans="1:4" x14ac:dyDescent="0.2">
      <c r="A31" s="7"/>
      <c r="B31" s="17"/>
      <c r="C31" s="17"/>
      <c r="D31" s="17"/>
    </row>
    <row r="32" spans="1:4" x14ac:dyDescent="0.2">
      <c r="A32" s="7"/>
      <c r="B32" s="17"/>
      <c r="C32" s="17"/>
      <c r="D32" s="17"/>
    </row>
    <row r="33" spans="1:4" x14ac:dyDescent="0.2">
      <c r="A33" s="7"/>
      <c r="B33" s="17"/>
      <c r="C33" s="17"/>
      <c r="D33" s="17"/>
    </row>
    <row r="34" spans="1:4" x14ac:dyDescent="0.2">
      <c r="A34" s="7"/>
      <c r="B34" s="17"/>
      <c r="C34" s="17"/>
      <c r="D34" s="17"/>
    </row>
    <row r="35" spans="1:4" x14ac:dyDescent="0.2">
      <c r="B35" s="17"/>
      <c r="C35" s="17"/>
      <c r="D35" s="17"/>
    </row>
    <row r="36" spans="1:4" x14ac:dyDescent="0.2">
      <c r="B36" s="17"/>
      <c r="C36" s="17"/>
      <c r="D36" s="17"/>
    </row>
    <row r="37" spans="1:4" x14ac:dyDescent="0.2">
      <c r="B37" s="17"/>
      <c r="C37" s="17"/>
      <c r="D37" s="17"/>
    </row>
    <row r="38" spans="1:4" x14ac:dyDescent="0.2">
      <c r="B38" s="17"/>
      <c r="C38" s="17"/>
      <c r="D38" s="17"/>
    </row>
    <row r="39" spans="1:4" x14ac:dyDescent="0.2">
      <c r="B39" s="17"/>
      <c r="C39" s="17"/>
      <c r="D39" s="17"/>
    </row>
    <row r="40" spans="1:4" x14ac:dyDescent="0.2">
      <c r="B40" s="17"/>
      <c r="C40" s="17"/>
      <c r="D40" s="17"/>
    </row>
    <row r="41" spans="1:4" x14ac:dyDescent="0.2">
      <c r="B41" s="17"/>
      <c r="C41" s="17"/>
      <c r="D41" s="17"/>
    </row>
    <row r="42" spans="1:4" x14ac:dyDescent="0.2">
      <c r="B42" s="17"/>
      <c r="C42" s="17"/>
      <c r="D42" s="17"/>
    </row>
    <row r="43" spans="1:4" x14ac:dyDescent="0.2">
      <c r="B43" s="17"/>
      <c r="C43" s="17"/>
      <c r="D43" s="17"/>
    </row>
    <row r="44" spans="1:4" x14ac:dyDescent="0.2">
      <c r="B44" s="17"/>
      <c r="C44" s="17"/>
      <c r="D44" s="17"/>
    </row>
  </sheetData>
  <mergeCells count="8">
    <mergeCell ref="A11:D11"/>
    <mergeCell ref="A1:D1"/>
    <mergeCell ref="A2:D2"/>
    <mergeCell ref="A3:D3"/>
    <mergeCell ref="A4:D4"/>
    <mergeCell ref="A5:D5"/>
    <mergeCell ref="A6:D8"/>
    <mergeCell ref="A9:D9"/>
  </mergeCells>
  <pageMargins left="0.75" right="0.4" top="0.75" bottom="0.75" header="0.5" footer="0.5"/>
  <pageSetup scale="90" firstPageNumber="0" orientation="portrait"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79E20-6696-47CC-AF83-4575CB0E7973}">
  <dimension ref="A1:H55"/>
  <sheetViews>
    <sheetView workbookViewId="0">
      <selection activeCell="H34" sqref="H34"/>
    </sheetView>
  </sheetViews>
  <sheetFormatPr defaultRowHeight="12.75" x14ac:dyDescent="0.2"/>
  <cols>
    <col min="1" max="4" width="25" style="12" customWidth="1"/>
    <col min="5" max="254" width="9.140625" style="1"/>
    <col min="255" max="259" width="18.5703125" style="1" customWidth="1"/>
    <col min="260" max="510" width="9.140625" style="1"/>
    <col min="511" max="515" width="18.5703125" style="1" customWidth="1"/>
    <col min="516" max="766" width="9.140625" style="1"/>
    <col min="767" max="771" width="18.5703125" style="1" customWidth="1"/>
    <col min="772" max="1022" width="9.140625" style="1"/>
    <col min="1023" max="1027" width="18.5703125" style="1" customWidth="1"/>
    <col min="1028" max="1278" width="9.140625" style="1"/>
    <col min="1279" max="1283" width="18.5703125" style="1" customWidth="1"/>
    <col min="1284" max="1534" width="9.140625" style="1"/>
    <col min="1535" max="1539" width="18.5703125" style="1" customWidth="1"/>
    <col min="1540" max="1790" width="9.140625" style="1"/>
    <col min="1791" max="1795" width="18.5703125" style="1" customWidth="1"/>
    <col min="1796" max="2046" width="9.140625" style="1"/>
    <col min="2047" max="2051" width="18.5703125" style="1" customWidth="1"/>
    <col min="2052" max="2302" width="9.140625" style="1"/>
    <col min="2303" max="2307" width="18.5703125" style="1" customWidth="1"/>
    <col min="2308" max="2558" width="9.140625" style="1"/>
    <col min="2559" max="2563" width="18.5703125" style="1" customWidth="1"/>
    <col min="2564" max="2814" width="9.140625" style="1"/>
    <col min="2815" max="2819" width="18.5703125" style="1" customWidth="1"/>
    <col min="2820" max="3070" width="9.140625" style="1"/>
    <col min="3071" max="3075" width="18.5703125" style="1" customWidth="1"/>
    <col min="3076" max="3326" width="9.140625" style="1"/>
    <col min="3327" max="3331" width="18.5703125" style="1" customWidth="1"/>
    <col min="3332" max="3582" width="9.140625" style="1"/>
    <col min="3583" max="3587" width="18.5703125" style="1" customWidth="1"/>
    <col min="3588" max="3838" width="9.140625" style="1"/>
    <col min="3839" max="3843" width="18.5703125" style="1" customWidth="1"/>
    <col min="3844" max="4094" width="9.140625" style="1"/>
    <col min="4095" max="4099" width="18.5703125" style="1" customWidth="1"/>
    <col min="4100" max="4350" width="9.140625" style="1"/>
    <col min="4351" max="4355" width="18.5703125" style="1" customWidth="1"/>
    <col min="4356" max="4606" width="9.140625" style="1"/>
    <col min="4607" max="4611" width="18.5703125" style="1" customWidth="1"/>
    <col min="4612" max="4862" width="9.140625" style="1"/>
    <col min="4863" max="4867" width="18.5703125" style="1" customWidth="1"/>
    <col min="4868" max="5118" width="9.140625" style="1"/>
    <col min="5119" max="5123" width="18.5703125" style="1" customWidth="1"/>
    <col min="5124" max="5374" width="9.140625" style="1"/>
    <col min="5375" max="5379" width="18.5703125" style="1" customWidth="1"/>
    <col min="5380" max="5630" width="9.140625" style="1"/>
    <col min="5631" max="5635" width="18.5703125" style="1" customWidth="1"/>
    <col min="5636" max="5886" width="9.140625" style="1"/>
    <col min="5887" max="5891" width="18.5703125" style="1" customWidth="1"/>
    <col min="5892" max="6142" width="9.140625" style="1"/>
    <col min="6143" max="6147" width="18.5703125" style="1" customWidth="1"/>
    <col min="6148" max="6398" width="9.140625" style="1"/>
    <col min="6399" max="6403" width="18.5703125" style="1" customWidth="1"/>
    <col min="6404" max="6654" width="9.140625" style="1"/>
    <col min="6655" max="6659" width="18.5703125" style="1" customWidth="1"/>
    <col min="6660" max="6910" width="9.140625" style="1"/>
    <col min="6911" max="6915" width="18.5703125" style="1" customWidth="1"/>
    <col min="6916" max="7166" width="9.140625" style="1"/>
    <col min="7167" max="7171" width="18.5703125" style="1" customWidth="1"/>
    <col min="7172" max="7422" width="9.140625" style="1"/>
    <col min="7423" max="7427" width="18.5703125" style="1" customWidth="1"/>
    <col min="7428" max="7678" width="9.140625" style="1"/>
    <col min="7679" max="7683" width="18.5703125" style="1" customWidth="1"/>
    <col min="7684" max="7934" width="9.140625" style="1"/>
    <col min="7935" max="7939" width="18.5703125" style="1" customWidth="1"/>
    <col min="7940" max="8190" width="9.140625" style="1"/>
    <col min="8191" max="8195" width="18.5703125" style="1" customWidth="1"/>
    <col min="8196" max="8446" width="9.140625" style="1"/>
    <col min="8447" max="8451" width="18.5703125" style="1" customWidth="1"/>
    <col min="8452" max="8702" width="9.140625" style="1"/>
    <col min="8703" max="8707" width="18.5703125" style="1" customWidth="1"/>
    <col min="8708" max="8958" width="9.140625" style="1"/>
    <col min="8959" max="8963" width="18.5703125" style="1" customWidth="1"/>
    <col min="8964" max="9214" width="9.140625" style="1"/>
    <col min="9215" max="9219" width="18.5703125" style="1" customWidth="1"/>
    <col min="9220" max="9470" width="9.140625" style="1"/>
    <col min="9471" max="9475" width="18.5703125" style="1" customWidth="1"/>
    <col min="9476" max="9726" width="9.140625" style="1"/>
    <col min="9727" max="9731" width="18.5703125" style="1" customWidth="1"/>
    <col min="9732" max="9982" width="9.140625" style="1"/>
    <col min="9983" max="9987" width="18.5703125" style="1" customWidth="1"/>
    <col min="9988" max="10238" width="9.140625" style="1"/>
    <col min="10239" max="10243" width="18.5703125" style="1" customWidth="1"/>
    <col min="10244" max="10494" width="9.140625" style="1"/>
    <col min="10495" max="10499" width="18.5703125" style="1" customWidth="1"/>
    <col min="10500" max="10750" width="9.140625" style="1"/>
    <col min="10751" max="10755" width="18.5703125" style="1" customWidth="1"/>
    <col min="10756" max="11006" width="9.140625" style="1"/>
    <col min="11007" max="11011" width="18.5703125" style="1" customWidth="1"/>
    <col min="11012" max="11262" width="9.140625" style="1"/>
    <col min="11263" max="11267" width="18.5703125" style="1" customWidth="1"/>
    <col min="11268" max="11518" width="9.140625" style="1"/>
    <col min="11519" max="11523" width="18.5703125" style="1" customWidth="1"/>
    <col min="11524" max="11774" width="9.140625" style="1"/>
    <col min="11775" max="11779" width="18.5703125" style="1" customWidth="1"/>
    <col min="11780" max="12030" width="9.140625" style="1"/>
    <col min="12031" max="12035" width="18.5703125" style="1" customWidth="1"/>
    <col min="12036" max="12286" width="9.140625" style="1"/>
    <col min="12287" max="12291" width="18.5703125" style="1" customWidth="1"/>
    <col min="12292" max="12542" width="9.140625" style="1"/>
    <col min="12543" max="12547" width="18.5703125" style="1" customWidth="1"/>
    <col min="12548" max="12798" width="9.140625" style="1"/>
    <col min="12799" max="12803" width="18.5703125" style="1" customWidth="1"/>
    <col min="12804" max="13054" width="9.140625" style="1"/>
    <col min="13055" max="13059" width="18.5703125" style="1" customWidth="1"/>
    <col min="13060" max="13310" width="9.140625" style="1"/>
    <col min="13311" max="13315" width="18.5703125" style="1" customWidth="1"/>
    <col min="13316" max="13566" width="9.140625" style="1"/>
    <col min="13567" max="13571" width="18.5703125" style="1" customWidth="1"/>
    <col min="13572" max="13822" width="9.140625" style="1"/>
    <col min="13823" max="13827" width="18.5703125" style="1" customWidth="1"/>
    <col min="13828" max="14078" width="9.140625" style="1"/>
    <col min="14079" max="14083" width="18.5703125" style="1" customWidth="1"/>
    <col min="14084" max="14334" width="9.140625" style="1"/>
    <col min="14335" max="14339" width="18.5703125" style="1" customWidth="1"/>
    <col min="14340" max="14590" width="9.140625" style="1"/>
    <col min="14591" max="14595" width="18.5703125" style="1" customWidth="1"/>
    <col min="14596" max="14846" width="9.140625" style="1"/>
    <col min="14847" max="14851" width="18.5703125" style="1" customWidth="1"/>
    <col min="14852" max="15102" width="9.140625" style="1"/>
    <col min="15103" max="15107" width="18.5703125" style="1" customWidth="1"/>
    <col min="15108" max="15358" width="9.140625" style="1"/>
    <col min="15359" max="15363" width="18.5703125" style="1" customWidth="1"/>
    <col min="15364" max="15614" width="9.140625" style="1"/>
    <col min="15615" max="15619" width="18.5703125" style="1" customWidth="1"/>
    <col min="15620" max="15870" width="9.140625" style="1"/>
    <col min="15871" max="15875" width="18.5703125" style="1" customWidth="1"/>
    <col min="15876" max="16126" width="9.140625" style="1"/>
    <col min="16127" max="16131" width="18.5703125" style="1" customWidth="1"/>
    <col min="16132" max="16384" width="9.140625" style="1"/>
  </cols>
  <sheetData>
    <row r="1" spans="1:8" ht="15" customHeight="1" x14ac:dyDescent="0.25">
      <c r="A1" s="100" t="s">
        <v>0</v>
      </c>
      <c r="B1" s="100"/>
      <c r="C1" s="100"/>
      <c r="D1" s="100"/>
    </row>
    <row r="2" spans="1:8" ht="15" customHeight="1" x14ac:dyDescent="0.25">
      <c r="A2" s="100" t="s">
        <v>154</v>
      </c>
      <c r="B2" s="100"/>
      <c r="C2" s="100"/>
      <c r="D2" s="100"/>
      <c r="E2" s="45"/>
      <c r="F2" s="45"/>
      <c r="G2" s="45"/>
      <c r="H2" s="45"/>
    </row>
    <row r="3" spans="1:8" ht="15" customHeight="1" x14ac:dyDescent="0.25">
      <c r="A3" s="101" t="s">
        <v>1</v>
      </c>
      <c r="B3" s="101"/>
      <c r="C3" s="101"/>
      <c r="D3" s="101"/>
    </row>
    <row r="4" spans="1:8" ht="15" customHeight="1" x14ac:dyDescent="0.25">
      <c r="A4" s="101" t="s">
        <v>143</v>
      </c>
      <c r="B4" s="101"/>
      <c r="C4" s="101"/>
      <c r="D4" s="101"/>
    </row>
    <row r="5" spans="1:8" ht="15" customHeight="1" x14ac:dyDescent="0.25">
      <c r="A5" s="101" t="s">
        <v>51</v>
      </c>
      <c r="B5" s="101"/>
      <c r="C5" s="101"/>
      <c r="D5" s="101"/>
    </row>
    <row r="6" spans="1:8" ht="8.25" customHeight="1" x14ac:dyDescent="0.2">
      <c r="A6" s="104" t="s">
        <v>87</v>
      </c>
      <c r="B6" s="104"/>
      <c r="C6" s="104"/>
      <c r="D6" s="104"/>
    </row>
    <row r="7" spans="1:8" ht="15" customHeight="1" x14ac:dyDescent="0.2">
      <c r="A7" s="104"/>
      <c r="B7" s="104"/>
      <c r="C7" s="104"/>
      <c r="D7" s="104"/>
    </row>
    <row r="8" spans="1:8" ht="23.25" customHeight="1" x14ac:dyDescent="0.2">
      <c r="A8" s="104"/>
      <c r="B8" s="104"/>
      <c r="C8" s="104"/>
      <c r="D8" s="104"/>
    </row>
    <row r="9" spans="1:8" ht="15" customHeight="1" x14ac:dyDescent="0.2">
      <c r="A9" s="103" t="s">
        <v>120</v>
      </c>
      <c r="B9" s="103"/>
      <c r="C9" s="103"/>
      <c r="D9" s="103"/>
    </row>
    <row r="10" spans="1:8" ht="9" customHeight="1" x14ac:dyDescent="0.2">
      <c r="A10" s="22"/>
      <c r="B10" s="22"/>
      <c r="C10" s="22"/>
      <c r="D10" s="22"/>
    </row>
    <row r="11" spans="1:8" ht="9" customHeight="1" x14ac:dyDescent="0.2">
      <c r="A11" s="99"/>
      <c r="B11" s="99"/>
      <c r="C11" s="99"/>
      <c r="D11" s="99"/>
    </row>
    <row r="12" spans="1:8" x14ac:dyDescent="0.2">
      <c r="A12" s="3" t="s">
        <v>43</v>
      </c>
      <c r="B12" s="20" t="s">
        <v>44</v>
      </c>
      <c r="C12" s="20" t="s">
        <v>45</v>
      </c>
      <c r="D12" s="20" t="s">
        <v>46</v>
      </c>
    </row>
    <row r="13" spans="1:8" ht="8.25" customHeight="1" x14ac:dyDescent="0.2"/>
    <row r="14" spans="1:8" s="5" customFormat="1" ht="12" customHeight="1" x14ac:dyDescent="0.2">
      <c r="A14" s="4" t="s">
        <v>6</v>
      </c>
      <c r="B14" s="15">
        <v>325000</v>
      </c>
      <c r="C14" s="15">
        <f>89120+82620</f>
        <v>171740</v>
      </c>
      <c r="D14" s="15">
        <f t="shared" ref="D14:D27" si="0">+B14+C14</f>
        <v>496740</v>
      </c>
    </row>
    <row r="15" spans="1:8" s="5" customFormat="1" ht="12" customHeight="1" x14ac:dyDescent="0.2">
      <c r="A15" s="4" t="s">
        <v>7</v>
      </c>
      <c r="B15" s="15">
        <v>335000</v>
      </c>
      <c r="C15" s="15">
        <f>82620+77595</f>
        <v>160215</v>
      </c>
      <c r="D15" s="15">
        <f t="shared" si="0"/>
        <v>495215</v>
      </c>
    </row>
    <row r="16" spans="1:8" s="5" customFormat="1" ht="12" customHeight="1" x14ac:dyDescent="0.2">
      <c r="A16" s="4" t="s">
        <v>8</v>
      </c>
      <c r="B16" s="15">
        <v>345000</v>
      </c>
      <c r="C16" s="15">
        <f>77595+72420</f>
        <v>150015</v>
      </c>
      <c r="D16" s="15">
        <f t="shared" si="0"/>
        <v>495015</v>
      </c>
    </row>
    <row r="17" spans="1:4" s="5" customFormat="1" ht="12" customHeight="1" x14ac:dyDescent="0.2">
      <c r="A17" s="4" t="s">
        <v>9</v>
      </c>
      <c r="B17" s="15">
        <v>360000</v>
      </c>
      <c r="C17" s="15">
        <f>72420+67020</f>
        <v>139440</v>
      </c>
      <c r="D17" s="15">
        <f t="shared" si="0"/>
        <v>499440</v>
      </c>
    </row>
    <row r="18" spans="1:4" s="5" customFormat="1" ht="12" customHeight="1" x14ac:dyDescent="0.2">
      <c r="A18" s="4" t="s">
        <v>12</v>
      </c>
      <c r="B18" s="15">
        <v>370000</v>
      </c>
      <c r="C18" s="15">
        <f>67020+61470</f>
        <v>128490</v>
      </c>
      <c r="D18" s="15">
        <f t="shared" si="0"/>
        <v>498490</v>
      </c>
    </row>
    <row r="19" spans="1:4" s="5" customFormat="1" ht="12" customHeight="1" x14ac:dyDescent="0.2">
      <c r="A19" s="4" t="s">
        <v>18</v>
      </c>
      <c r="B19" s="15">
        <v>380000</v>
      </c>
      <c r="C19" s="15">
        <f>61470+55770</f>
        <v>117240</v>
      </c>
      <c r="D19" s="15">
        <f t="shared" si="0"/>
        <v>497240</v>
      </c>
    </row>
    <row r="20" spans="1:4" s="5" customFormat="1" ht="12" customHeight="1" x14ac:dyDescent="0.2">
      <c r="A20" s="4" t="s">
        <v>19</v>
      </c>
      <c r="B20" s="15">
        <v>390000</v>
      </c>
      <c r="C20" s="15">
        <f>55770+49920</f>
        <v>105690</v>
      </c>
      <c r="D20" s="15">
        <f t="shared" si="0"/>
        <v>495690</v>
      </c>
    </row>
    <row r="21" spans="1:4" s="5" customFormat="1" ht="12" customHeight="1" x14ac:dyDescent="0.2">
      <c r="A21" s="4" t="s">
        <v>20</v>
      </c>
      <c r="B21" s="15">
        <v>405000</v>
      </c>
      <c r="C21" s="15">
        <f>49920+43440</f>
        <v>93360</v>
      </c>
      <c r="D21" s="15">
        <f t="shared" si="0"/>
        <v>498360</v>
      </c>
    </row>
    <row r="22" spans="1:4" s="5" customFormat="1" ht="12" customHeight="1" x14ac:dyDescent="0.2">
      <c r="A22" s="4" t="s">
        <v>21</v>
      </c>
      <c r="B22" s="15">
        <v>415000</v>
      </c>
      <c r="C22" s="15">
        <f>43440+36800</f>
        <v>80240</v>
      </c>
      <c r="D22" s="15">
        <f t="shared" si="0"/>
        <v>495240</v>
      </c>
    </row>
    <row r="23" spans="1:4" s="5" customFormat="1" ht="12" customHeight="1" x14ac:dyDescent="0.2">
      <c r="A23" s="4" t="s">
        <v>24</v>
      </c>
      <c r="B23" s="15">
        <v>430000</v>
      </c>
      <c r="C23" s="15">
        <f>36800+29920</f>
        <v>66720</v>
      </c>
      <c r="D23" s="15">
        <f t="shared" si="0"/>
        <v>496720</v>
      </c>
    </row>
    <row r="24" spans="1:4" s="5" customFormat="1" ht="12" customHeight="1" x14ac:dyDescent="0.2">
      <c r="A24" s="4" t="s">
        <v>25</v>
      </c>
      <c r="B24" s="15">
        <v>445000</v>
      </c>
      <c r="C24" s="15">
        <f>29920+22800</f>
        <v>52720</v>
      </c>
      <c r="D24" s="15">
        <f t="shared" si="0"/>
        <v>497720</v>
      </c>
    </row>
    <row r="25" spans="1:4" s="5" customFormat="1" ht="12" customHeight="1" x14ac:dyDescent="0.2">
      <c r="A25" s="4" t="s">
        <v>41</v>
      </c>
      <c r="B25" s="15">
        <v>460000</v>
      </c>
      <c r="C25" s="15">
        <f>22800+15440</f>
        <v>38240</v>
      </c>
      <c r="D25" s="15">
        <f t="shared" si="0"/>
        <v>498240</v>
      </c>
    </row>
    <row r="26" spans="1:4" s="5" customFormat="1" ht="12" customHeight="1" x14ac:dyDescent="0.2">
      <c r="A26" s="4" t="s">
        <v>49</v>
      </c>
      <c r="B26" s="15">
        <v>475000</v>
      </c>
      <c r="C26" s="15">
        <f>15440+7840</f>
        <v>23280</v>
      </c>
      <c r="D26" s="15">
        <f t="shared" si="0"/>
        <v>498280</v>
      </c>
    </row>
    <row r="27" spans="1:4" s="5" customFormat="1" ht="12" customHeight="1" x14ac:dyDescent="0.2">
      <c r="A27" s="4" t="s">
        <v>52</v>
      </c>
      <c r="B27" s="15">
        <v>490000</v>
      </c>
      <c r="C27" s="15">
        <v>7840</v>
      </c>
      <c r="D27" s="15">
        <f t="shared" si="0"/>
        <v>497840</v>
      </c>
    </row>
    <row r="28" spans="1:4" s="5" customFormat="1" ht="12" customHeight="1" x14ac:dyDescent="0.2">
      <c r="A28" s="6" t="s">
        <v>4</v>
      </c>
      <c r="B28" s="16">
        <f>SUM(B13:B27)</f>
        <v>5625000</v>
      </c>
      <c r="C28" s="16">
        <f t="shared" ref="C28:D28" si="1">SUM(C13:C27)</f>
        <v>1335230</v>
      </c>
      <c r="D28" s="16">
        <f t="shared" si="1"/>
        <v>6960230</v>
      </c>
    </row>
    <row r="29" spans="1:4" ht="11.25" customHeight="1" x14ac:dyDescent="0.2">
      <c r="A29" s="7"/>
      <c r="C29" s="9"/>
      <c r="D29" s="9"/>
    </row>
    <row r="30" spans="1:4" ht="11.25" customHeight="1" x14ac:dyDescent="0.2">
      <c r="A30" s="7"/>
      <c r="B30" s="9"/>
      <c r="C30" s="9"/>
      <c r="D30" s="9"/>
    </row>
    <row r="31" spans="1:4" ht="11.25" customHeight="1" x14ac:dyDescent="0.2">
      <c r="A31" s="7"/>
      <c r="B31" s="9"/>
      <c r="C31" s="9"/>
      <c r="D31" s="9"/>
    </row>
    <row r="32" spans="1:4" ht="11.25" customHeight="1" x14ac:dyDescent="0.2">
      <c r="A32" s="7"/>
      <c r="B32" s="9"/>
      <c r="C32" s="9"/>
      <c r="D32" s="9"/>
    </row>
    <row r="33" spans="1:4" ht="11.25" customHeight="1" x14ac:dyDescent="0.2">
      <c r="A33" s="7"/>
      <c r="B33" s="9"/>
      <c r="C33" s="9"/>
      <c r="D33" s="9"/>
    </row>
    <row r="34" spans="1:4" ht="11.25" customHeight="1" x14ac:dyDescent="0.2">
      <c r="A34" s="7"/>
      <c r="B34" s="9"/>
      <c r="C34" s="9"/>
      <c r="D34" s="9"/>
    </row>
    <row r="35" spans="1:4" ht="11.25" customHeight="1" x14ac:dyDescent="0.2">
      <c r="A35" s="7"/>
      <c r="B35" s="9"/>
      <c r="C35" s="9"/>
      <c r="D35" s="9"/>
    </row>
    <row r="36" spans="1:4" x14ac:dyDescent="0.2">
      <c r="A36" s="7"/>
      <c r="B36" s="17"/>
      <c r="C36" s="17"/>
      <c r="D36" s="17"/>
    </row>
    <row r="37" spans="1:4" x14ac:dyDescent="0.2">
      <c r="A37" s="7"/>
      <c r="B37" s="17"/>
      <c r="C37" s="17"/>
      <c r="D37" s="17"/>
    </row>
    <row r="38" spans="1:4" x14ac:dyDescent="0.2">
      <c r="A38" s="7"/>
      <c r="B38" s="17"/>
      <c r="C38" s="17"/>
      <c r="D38" s="17"/>
    </row>
    <row r="39" spans="1:4" x14ac:dyDescent="0.2">
      <c r="A39" s="7"/>
      <c r="B39" s="17"/>
      <c r="C39" s="17"/>
      <c r="D39" s="17"/>
    </row>
    <row r="40" spans="1:4" x14ac:dyDescent="0.2">
      <c r="A40" s="7"/>
      <c r="B40" s="17"/>
      <c r="C40" s="17"/>
      <c r="D40" s="17"/>
    </row>
    <row r="41" spans="1:4" x14ac:dyDescent="0.2">
      <c r="A41" s="7"/>
      <c r="B41" s="17"/>
      <c r="C41" s="17"/>
      <c r="D41" s="17"/>
    </row>
    <row r="42" spans="1:4" x14ac:dyDescent="0.2">
      <c r="A42" s="7"/>
      <c r="B42" s="17"/>
      <c r="C42" s="17"/>
      <c r="D42" s="17"/>
    </row>
    <row r="43" spans="1:4" x14ac:dyDescent="0.2">
      <c r="A43" s="7"/>
      <c r="B43" s="17"/>
      <c r="C43" s="17"/>
      <c r="D43" s="17"/>
    </row>
    <row r="44" spans="1:4" x14ac:dyDescent="0.2">
      <c r="A44" s="7"/>
      <c r="B44" s="17"/>
      <c r="C44" s="17"/>
      <c r="D44" s="17"/>
    </row>
    <row r="45" spans="1:4" x14ac:dyDescent="0.2">
      <c r="A45" s="7"/>
      <c r="B45" s="17"/>
      <c r="C45" s="17"/>
      <c r="D45" s="17"/>
    </row>
    <row r="46" spans="1:4" x14ac:dyDescent="0.2">
      <c r="B46" s="17"/>
      <c r="C46" s="17"/>
      <c r="D46" s="17"/>
    </row>
    <row r="47" spans="1:4" x14ac:dyDescent="0.2">
      <c r="B47" s="17"/>
      <c r="C47" s="17"/>
      <c r="D47" s="17"/>
    </row>
    <row r="48" spans="1:4" x14ac:dyDescent="0.2">
      <c r="B48" s="17"/>
      <c r="C48" s="17"/>
      <c r="D48" s="17"/>
    </row>
    <row r="49" spans="2:4" x14ac:dyDescent="0.2">
      <c r="B49" s="17"/>
      <c r="C49" s="17"/>
      <c r="D49" s="17"/>
    </row>
    <row r="50" spans="2:4" x14ac:dyDescent="0.2">
      <c r="B50" s="17"/>
      <c r="C50" s="17"/>
      <c r="D50" s="17"/>
    </row>
    <row r="51" spans="2:4" x14ac:dyDescent="0.2">
      <c r="B51" s="17"/>
      <c r="C51" s="17"/>
      <c r="D51" s="17"/>
    </row>
    <row r="52" spans="2:4" x14ac:dyDescent="0.2">
      <c r="B52" s="17"/>
      <c r="C52" s="17"/>
      <c r="D52" s="17"/>
    </row>
    <row r="53" spans="2:4" x14ac:dyDescent="0.2">
      <c r="B53" s="17"/>
      <c r="C53" s="17"/>
      <c r="D53" s="17"/>
    </row>
    <row r="54" spans="2:4" x14ac:dyDescent="0.2">
      <c r="B54" s="17"/>
      <c r="C54" s="17"/>
      <c r="D54" s="17"/>
    </row>
    <row r="55" spans="2:4" x14ac:dyDescent="0.2">
      <c r="B55" s="17"/>
      <c r="C55" s="17"/>
      <c r="D55" s="17"/>
    </row>
  </sheetData>
  <mergeCells count="8">
    <mergeCell ref="A11:D11"/>
    <mergeCell ref="A1:D1"/>
    <mergeCell ref="A2:D2"/>
    <mergeCell ref="A3:D3"/>
    <mergeCell ref="A4:D4"/>
    <mergeCell ref="A5:D5"/>
    <mergeCell ref="A6:D8"/>
    <mergeCell ref="A9:D9"/>
  </mergeCells>
  <pageMargins left="0.75" right="0.4" top="0.75" bottom="0.75" header="0.5" footer="0.5"/>
  <pageSetup scale="90" firstPageNumber="0" orientation="portrait"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F6D2D-2D1C-42F1-BE7E-5E07FA2C4C30}">
  <dimension ref="A1:H45"/>
  <sheetViews>
    <sheetView workbookViewId="0">
      <selection activeCell="H34" sqref="H34"/>
    </sheetView>
  </sheetViews>
  <sheetFormatPr defaultRowHeight="12.75" x14ac:dyDescent="0.2"/>
  <cols>
    <col min="1" max="4" width="25" style="12" customWidth="1"/>
    <col min="5" max="254" width="9.140625" style="1"/>
    <col min="255" max="259" width="18.5703125" style="1" customWidth="1"/>
    <col min="260" max="510" width="9.140625" style="1"/>
    <col min="511" max="515" width="18.5703125" style="1" customWidth="1"/>
    <col min="516" max="766" width="9.140625" style="1"/>
    <col min="767" max="771" width="18.5703125" style="1" customWidth="1"/>
    <col min="772" max="1022" width="9.140625" style="1"/>
    <col min="1023" max="1027" width="18.5703125" style="1" customWidth="1"/>
    <col min="1028" max="1278" width="9.140625" style="1"/>
    <col min="1279" max="1283" width="18.5703125" style="1" customWidth="1"/>
    <col min="1284" max="1534" width="9.140625" style="1"/>
    <col min="1535" max="1539" width="18.5703125" style="1" customWidth="1"/>
    <col min="1540" max="1790" width="9.140625" style="1"/>
    <col min="1791" max="1795" width="18.5703125" style="1" customWidth="1"/>
    <col min="1796" max="2046" width="9.140625" style="1"/>
    <col min="2047" max="2051" width="18.5703125" style="1" customWidth="1"/>
    <col min="2052" max="2302" width="9.140625" style="1"/>
    <col min="2303" max="2307" width="18.5703125" style="1" customWidth="1"/>
    <col min="2308" max="2558" width="9.140625" style="1"/>
    <col min="2559" max="2563" width="18.5703125" style="1" customWidth="1"/>
    <col min="2564" max="2814" width="9.140625" style="1"/>
    <col min="2815" max="2819" width="18.5703125" style="1" customWidth="1"/>
    <col min="2820" max="3070" width="9.140625" style="1"/>
    <col min="3071" max="3075" width="18.5703125" style="1" customWidth="1"/>
    <col min="3076" max="3326" width="9.140625" style="1"/>
    <col min="3327" max="3331" width="18.5703125" style="1" customWidth="1"/>
    <col min="3332" max="3582" width="9.140625" style="1"/>
    <col min="3583" max="3587" width="18.5703125" style="1" customWidth="1"/>
    <col min="3588" max="3838" width="9.140625" style="1"/>
    <col min="3839" max="3843" width="18.5703125" style="1" customWidth="1"/>
    <col min="3844" max="4094" width="9.140625" style="1"/>
    <col min="4095" max="4099" width="18.5703125" style="1" customWidth="1"/>
    <col min="4100" max="4350" width="9.140625" style="1"/>
    <col min="4351" max="4355" width="18.5703125" style="1" customWidth="1"/>
    <col min="4356" max="4606" width="9.140625" style="1"/>
    <col min="4607" max="4611" width="18.5703125" style="1" customWidth="1"/>
    <col min="4612" max="4862" width="9.140625" style="1"/>
    <col min="4863" max="4867" width="18.5703125" style="1" customWidth="1"/>
    <col min="4868" max="5118" width="9.140625" style="1"/>
    <col min="5119" max="5123" width="18.5703125" style="1" customWidth="1"/>
    <col min="5124" max="5374" width="9.140625" style="1"/>
    <col min="5375" max="5379" width="18.5703125" style="1" customWidth="1"/>
    <col min="5380" max="5630" width="9.140625" style="1"/>
    <col min="5631" max="5635" width="18.5703125" style="1" customWidth="1"/>
    <col min="5636" max="5886" width="9.140625" style="1"/>
    <col min="5887" max="5891" width="18.5703125" style="1" customWidth="1"/>
    <col min="5892" max="6142" width="9.140625" style="1"/>
    <col min="6143" max="6147" width="18.5703125" style="1" customWidth="1"/>
    <col min="6148" max="6398" width="9.140625" style="1"/>
    <col min="6399" max="6403" width="18.5703125" style="1" customWidth="1"/>
    <col min="6404" max="6654" width="9.140625" style="1"/>
    <col min="6655" max="6659" width="18.5703125" style="1" customWidth="1"/>
    <col min="6660" max="6910" width="9.140625" style="1"/>
    <col min="6911" max="6915" width="18.5703125" style="1" customWidth="1"/>
    <col min="6916" max="7166" width="9.140625" style="1"/>
    <col min="7167" max="7171" width="18.5703125" style="1" customWidth="1"/>
    <col min="7172" max="7422" width="9.140625" style="1"/>
    <col min="7423" max="7427" width="18.5703125" style="1" customWidth="1"/>
    <col min="7428" max="7678" width="9.140625" style="1"/>
    <col min="7679" max="7683" width="18.5703125" style="1" customWidth="1"/>
    <col min="7684" max="7934" width="9.140625" style="1"/>
    <col min="7935" max="7939" width="18.5703125" style="1" customWidth="1"/>
    <col min="7940" max="8190" width="9.140625" style="1"/>
    <col min="8191" max="8195" width="18.5703125" style="1" customWidth="1"/>
    <col min="8196" max="8446" width="9.140625" style="1"/>
    <col min="8447" max="8451" width="18.5703125" style="1" customWidth="1"/>
    <col min="8452" max="8702" width="9.140625" style="1"/>
    <col min="8703" max="8707" width="18.5703125" style="1" customWidth="1"/>
    <col min="8708" max="8958" width="9.140625" style="1"/>
    <col min="8959" max="8963" width="18.5703125" style="1" customWidth="1"/>
    <col min="8964" max="9214" width="9.140625" style="1"/>
    <col min="9215" max="9219" width="18.5703125" style="1" customWidth="1"/>
    <col min="9220" max="9470" width="9.140625" style="1"/>
    <col min="9471" max="9475" width="18.5703125" style="1" customWidth="1"/>
    <col min="9476" max="9726" width="9.140625" style="1"/>
    <col min="9727" max="9731" width="18.5703125" style="1" customWidth="1"/>
    <col min="9732" max="9982" width="9.140625" style="1"/>
    <col min="9983" max="9987" width="18.5703125" style="1" customWidth="1"/>
    <col min="9988" max="10238" width="9.140625" style="1"/>
    <col min="10239" max="10243" width="18.5703125" style="1" customWidth="1"/>
    <col min="10244" max="10494" width="9.140625" style="1"/>
    <col min="10495" max="10499" width="18.5703125" style="1" customWidth="1"/>
    <col min="10500" max="10750" width="9.140625" style="1"/>
    <col min="10751" max="10755" width="18.5703125" style="1" customWidth="1"/>
    <col min="10756" max="11006" width="9.140625" style="1"/>
    <col min="11007" max="11011" width="18.5703125" style="1" customWidth="1"/>
    <col min="11012" max="11262" width="9.140625" style="1"/>
    <col min="11263" max="11267" width="18.5703125" style="1" customWidth="1"/>
    <col min="11268" max="11518" width="9.140625" style="1"/>
    <col min="11519" max="11523" width="18.5703125" style="1" customWidth="1"/>
    <col min="11524" max="11774" width="9.140625" style="1"/>
    <col min="11775" max="11779" width="18.5703125" style="1" customWidth="1"/>
    <col min="11780" max="12030" width="9.140625" style="1"/>
    <col min="12031" max="12035" width="18.5703125" style="1" customWidth="1"/>
    <col min="12036" max="12286" width="9.140625" style="1"/>
    <col min="12287" max="12291" width="18.5703125" style="1" customWidth="1"/>
    <col min="12292" max="12542" width="9.140625" style="1"/>
    <col min="12543" max="12547" width="18.5703125" style="1" customWidth="1"/>
    <col min="12548" max="12798" width="9.140625" style="1"/>
    <col min="12799" max="12803" width="18.5703125" style="1" customWidth="1"/>
    <col min="12804" max="13054" width="9.140625" style="1"/>
    <col min="13055" max="13059" width="18.5703125" style="1" customWidth="1"/>
    <col min="13060" max="13310" width="9.140625" style="1"/>
    <col min="13311" max="13315" width="18.5703125" style="1" customWidth="1"/>
    <col min="13316" max="13566" width="9.140625" style="1"/>
    <col min="13567" max="13571" width="18.5703125" style="1" customWidth="1"/>
    <col min="13572" max="13822" width="9.140625" style="1"/>
    <col min="13823" max="13827" width="18.5703125" style="1" customWidth="1"/>
    <col min="13828" max="14078" width="9.140625" style="1"/>
    <col min="14079" max="14083" width="18.5703125" style="1" customWidth="1"/>
    <col min="14084" max="14334" width="9.140625" style="1"/>
    <col min="14335" max="14339" width="18.5703125" style="1" customWidth="1"/>
    <col min="14340" max="14590" width="9.140625" style="1"/>
    <col min="14591" max="14595" width="18.5703125" style="1" customWidth="1"/>
    <col min="14596" max="14846" width="9.140625" style="1"/>
    <col min="14847" max="14851" width="18.5703125" style="1" customWidth="1"/>
    <col min="14852" max="15102" width="9.140625" style="1"/>
    <col min="15103" max="15107" width="18.5703125" style="1" customWidth="1"/>
    <col min="15108" max="15358" width="9.140625" style="1"/>
    <col min="15359" max="15363" width="18.5703125" style="1" customWidth="1"/>
    <col min="15364" max="15614" width="9.140625" style="1"/>
    <col min="15615" max="15619" width="18.5703125" style="1" customWidth="1"/>
    <col min="15620" max="15870" width="9.140625" style="1"/>
    <col min="15871" max="15875" width="18.5703125" style="1" customWidth="1"/>
    <col min="15876" max="16126" width="9.140625" style="1"/>
    <col min="16127" max="16131" width="18.5703125" style="1" customWidth="1"/>
    <col min="16132" max="16384" width="9.140625" style="1"/>
  </cols>
  <sheetData>
    <row r="1" spans="1:8" ht="15" customHeight="1" x14ac:dyDescent="0.25">
      <c r="A1" s="100" t="s">
        <v>0</v>
      </c>
      <c r="B1" s="100"/>
      <c r="C1" s="100"/>
      <c r="D1" s="100"/>
    </row>
    <row r="2" spans="1:8" ht="15" customHeight="1" x14ac:dyDescent="0.25">
      <c r="A2" s="100" t="s">
        <v>154</v>
      </c>
      <c r="B2" s="100"/>
      <c r="C2" s="100"/>
      <c r="D2" s="100"/>
      <c r="E2" s="45"/>
      <c r="F2" s="45"/>
      <c r="G2" s="45"/>
      <c r="H2" s="45"/>
    </row>
    <row r="3" spans="1:8" ht="15" customHeight="1" x14ac:dyDescent="0.25">
      <c r="A3" s="101" t="s">
        <v>1</v>
      </c>
      <c r="B3" s="101"/>
      <c r="C3" s="101"/>
      <c r="D3" s="101"/>
    </row>
    <row r="4" spans="1:8" ht="15" customHeight="1" x14ac:dyDescent="0.25">
      <c r="A4" s="101" t="s">
        <v>93</v>
      </c>
      <c r="B4" s="101"/>
      <c r="C4" s="101"/>
      <c r="D4" s="101"/>
    </row>
    <row r="5" spans="1:8" ht="15" customHeight="1" x14ac:dyDescent="0.25">
      <c r="A5" s="101" t="s">
        <v>53</v>
      </c>
      <c r="B5" s="101"/>
      <c r="C5" s="101"/>
      <c r="D5" s="101"/>
    </row>
    <row r="6" spans="1:8" ht="8.25" customHeight="1" x14ac:dyDescent="0.2">
      <c r="A6" s="104" t="s">
        <v>77</v>
      </c>
      <c r="B6" s="104"/>
      <c r="C6" s="104"/>
      <c r="D6" s="104"/>
    </row>
    <row r="7" spans="1:8" ht="15" customHeight="1" x14ac:dyDescent="0.2">
      <c r="A7" s="104"/>
      <c r="B7" s="104"/>
      <c r="C7" s="104"/>
      <c r="D7" s="104"/>
    </row>
    <row r="8" spans="1:8" ht="23.25" customHeight="1" x14ac:dyDescent="0.2">
      <c r="A8" s="104"/>
      <c r="B8" s="104"/>
      <c r="C8" s="104"/>
      <c r="D8" s="104"/>
    </row>
    <row r="9" spans="1:8" ht="15" customHeight="1" x14ac:dyDescent="0.2">
      <c r="A9" s="103" t="s">
        <v>121</v>
      </c>
      <c r="B9" s="103"/>
      <c r="C9" s="103"/>
      <c r="D9" s="103"/>
    </row>
    <row r="10" spans="1:8" ht="9" customHeight="1" x14ac:dyDescent="0.2">
      <c r="A10" s="22"/>
      <c r="B10" s="22"/>
      <c r="C10" s="22"/>
      <c r="D10" s="22"/>
    </row>
    <row r="11" spans="1:8" ht="9" customHeight="1" x14ac:dyDescent="0.2">
      <c r="A11" s="99"/>
      <c r="B11" s="99"/>
      <c r="C11" s="99"/>
      <c r="D11" s="99"/>
    </row>
    <row r="12" spans="1:8" x14ac:dyDescent="0.2">
      <c r="A12" s="3" t="s">
        <v>43</v>
      </c>
      <c r="B12" s="20" t="s">
        <v>44</v>
      </c>
      <c r="C12" s="20" t="s">
        <v>45</v>
      </c>
      <c r="D12" s="20" t="s">
        <v>46</v>
      </c>
    </row>
    <row r="13" spans="1:8" ht="8.25" customHeight="1" x14ac:dyDescent="0.2"/>
    <row r="14" spans="1:8" s="5" customFormat="1" ht="12" customHeight="1" x14ac:dyDescent="0.2">
      <c r="A14" s="4" t="s">
        <v>6</v>
      </c>
      <c r="B14" s="15">
        <v>105000</v>
      </c>
      <c r="C14" s="15">
        <f>6358+4840.75</f>
        <v>11198.75</v>
      </c>
      <c r="D14" s="15">
        <f t="shared" ref="D14:D17" si="0">+B14+C14</f>
        <v>116198.75</v>
      </c>
    </row>
    <row r="15" spans="1:8" s="5" customFormat="1" ht="12" customHeight="1" x14ac:dyDescent="0.2">
      <c r="A15" s="4" t="s">
        <v>7</v>
      </c>
      <c r="B15" s="15">
        <v>110000</v>
      </c>
      <c r="C15" s="15">
        <f>4840.75+3251.25</f>
        <v>8092</v>
      </c>
      <c r="D15" s="15">
        <f t="shared" si="0"/>
        <v>118092</v>
      </c>
    </row>
    <row r="16" spans="1:8" s="5" customFormat="1" ht="12" customHeight="1" x14ac:dyDescent="0.2">
      <c r="A16" s="4" t="s">
        <v>8</v>
      </c>
      <c r="B16" s="15">
        <v>110000</v>
      </c>
      <c r="C16" s="15">
        <f>3251.25+1661.75</f>
        <v>4913</v>
      </c>
      <c r="D16" s="15">
        <f t="shared" si="0"/>
        <v>114913</v>
      </c>
    </row>
    <row r="17" spans="1:4" s="5" customFormat="1" ht="12" customHeight="1" x14ac:dyDescent="0.2">
      <c r="A17" s="4" t="s">
        <v>9</v>
      </c>
      <c r="B17" s="15">
        <v>115000</v>
      </c>
      <c r="C17" s="15">
        <v>1661.75</v>
      </c>
      <c r="D17" s="15">
        <f t="shared" si="0"/>
        <v>116661.75</v>
      </c>
    </row>
    <row r="18" spans="1:4" s="5" customFormat="1" ht="12" customHeight="1" x14ac:dyDescent="0.2">
      <c r="A18" s="6" t="s">
        <v>4</v>
      </c>
      <c r="B18" s="16">
        <f>SUM(B13:B17)</f>
        <v>440000</v>
      </c>
      <c r="C18" s="16">
        <f>SUM(C13:C17)</f>
        <v>25865.5</v>
      </c>
      <c r="D18" s="16">
        <f>SUM(D13:D17)</f>
        <v>465865.5</v>
      </c>
    </row>
    <row r="19" spans="1:4" ht="11.25" customHeight="1" x14ac:dyDescent="0.2">
      <c r="A19" s="7"/>
      <c r="C19" s="9"/>
      <c r="D19" s="9"/>
    </row>
    <row r="20" spans="1:4" ht="11.25" customHeight="1" x14ac:dyDescent="0.2">
      <c r="A20" s="7"/>
      <c r="B20" s="9"/>
      <c r="C20" s="9"/>
      <c r="D20" s="9"/>
    </row>
    <row r="21" spans="1:4" ht="11.25" customHeight="1" x14ac:dyDescent="0.2">
      <c r="A21" s="7"/>
      <c r="B21" s="9"/>
      <c r="C21" s="9"/>
      <c r="D21" s="9"/>
    </row>
    <row r="22" spans="1:4" ht="11.25" customHeight="1" x14ac:dyDescent="0.2">
      <c r="A22" s="7"/>
      <c r="B22" s="9"/>
      <c r="C22" s="9"/>
      <c r="D22" s="9"/>
    </row>
    <row r="23" spans="1:4" ht="11.25" customHeight="1" x14ac:dyDescent="0.2">
      <c r="A23" s="7"/>
      <c r="B23" s="9"/>
      <c r="C23" s="9"/>
      <c r="D23" s="9"/>
    </row>
    <row r="24" spans="1:4" ht="11.25" customHeight="1" x14ac:dyDescent="0.2">
      <c r="A24" s="7"/>
      <c r="B24" s="9"/>
      <c r="C24" s="9"/>
      <c r="D24" s="9"/>
    </row>
    <row r="25" spans="1:4" ht="11.25" customHeight="1" x14ac:dyDescent="0.2">
      <c r="A25" s="7"/>
      <c r="B25" s="9"/>
      <c r="C25" s="9"/>
      <c r="D25" s="9"/>
    </row>
    <row r="26" spans="1:4" x14ac:dyDescent="0.2">
      <c r="A26" s="7"/>
      <c r="B26" s="17"/>
      <c r="C26" s="17"/>
      <c r="D26" s="17"/>
    </row>
    <row r="27" spans="1:4" x14ac:dyDescent="0.2">
      <c r="A27" s="7"/>
      <c r="B27" s="17"/>
      <c r="C27" s="17"/>
      <c r="D27" s="17"/>
    </row>
    <row r="28" spans="1:4" x14ac:dyDescent="0.2">
      <c r="A28" s="7"/>
      <c r="B28" s="17"/>
      <c r="C28" s="17"/>
      <c r="D28" s="17"/>
    </row>
    <row r="29" spans="1:4" x14ac:dyDescent="0.2">
      <c r="A29" s="7"/>
      <c r="B29" s="17"/>
      <c r="C29" s="17"/>
      <c r="D29" s="17"/>
    </row>
    <row r="30" spans="1:4" x14ac:dyDescent="0.2">
      <c r="A30" s="7"/>
      <c r="B30" s="17"/>
      <c r="C30" s="17"/>
      <c r="D30" s="17"/>
    </row>
    <row r="31" spans="1:4" x14ac:dyDescent="0.2">
      <c r="A31" s="7"/>
      <c r="B31" s="17"/>
      <c r="C31" s="17"/>
      <c r="D31" s="17"/>
    </row>
    <row r="32" spans="1:4" x14ac:dyDescent="0.2">
      <c r="A32" s="7"/>
      <c r="B32" s="17"/>
      <c r="C32" s="17"/>
      <c r="D32" s="17"/>
    </row>
    <row r="33" spans="1:4" x14ac:dyDescent="0.2">
      <c r="A33" s="7"/>
      <c r="B33" s="17"/>
      <c r="C33" s="17"/>
      <c r="D33" s="17"/>
    </row>
    <row r="34" spans="1:4" x14ac:dyDescent="0.2">
      <c r="A34" s="7"/>
      <c r="B34" s="17"/>
      <c r="C34" s="17"/>
      <c r="D34" s="17"/>
    </row>
    <row r="35" spans="1:4" x14ac:dyDescent="0.2">
      <c r="A35" s="7"/>
      <c r="B35" s="17"/>
      <c r="C35" s="17"/>
      <c r="D35" s="17"/>
    </row>
    <row r="36" spans="1:4" x14ac:dyDescent="0.2">
      <c r="B36" s="17"/>
      <c r="C36" s="17"/>
      <c r="D36" s="17"/>
    </row>
    <row r="37" spans="1:4" x14ac:dyDescent="0.2">
      <c r="B37" s="17"/>
      <c r="C37" s="17"/>
      <c r="D37" s="17"/>
    </row>
    <row r="38" spans="1:4" x14ac:dyDescent="0.2">
      <c r="B38" s="17"/>
      <c r="C38" s="17"/>
      <c r="D38" s="17"/>
    </row>
    <row r="39" spans="1:4" x14ac:dyDescent="0.2">
      <c r="B39" s="17"/>
      <c r="C39" s="17"/>
      <c r="D39" s="17"/>
    </row>
    <row r="40" spans="1:4" x14ac:dyDescent="0.2">
      <c r="B40" s="17"/>
      <c r="C40" s="17"/>
      <c r="D40" s="17"/>
    </row>
    <row r="41" spans="1:4" x14ac:dyDescent="0.2">
      <c r="B41" s="17"/>
      <c r="C41" s="17"/>
      <c r="D41" s="17"/>
    </row>
    <row r="42" spans="1:4" x14ac:dyDescent="0.2">
      <c r="B42" s="17"/>
      <c r="C42" s="17"/>
      <c r="D42" s="17"/>
    </row>
    <row r="43" spans="1:4" x14ac:dyDescent="0.2">
      <c r="B43" s="17"/>
      <c r="C43" s="17"/>
      <c r="D43" s="17"/>
    </row>
    <row r="44" spans="1:4" x14ac:dyDescent="0.2">
      <c r="B44" s="17"/>
      <c r="C44" s="17"/>
      <c r="D44" s="17"/>
    </row>
    <row r="45" spans="1:4" x14ac:dyDescent="0.2">
      <c r="B45" s="17"/>
      <c r="C45" s="17"/>
      <c r="D45" s="17"/>
    </row>
  </sheetData>
  <mergeCells count="8">
    <mergeCell ref="A11:D11"/>
    <mergeCell ref="A1:D1"/>
    <mergeCell ref="A2:D2"/>
    <mergeCell ref="A3:D3"/>
    <mergeCell ref="A4:D4"/>
    <mergeCell ref="A5:D5"/>
    <mergeCell ref="A6:D8"/>
    <mergeCell ref="A9:D9"/>
  </mergeCells>
  <pageMargins left="0.75" right="0.4" top="0.75" bottom="0.75" header="0.5" footer="0.5"/>
  <pageSetup scale="90" firstPageNumber="0" orientation="portrait"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43386-3AE9-48E7-9FF5-BF35B51D6027}">
  <dimension ref="A1:H56"/>
  <sheetViews>
    <sheetView workbookViewId="0">
      <selection activeCell="H34" sqref="H34"/>
    </sheetView>
  </sheetViews>
  <sheetFormatPr defaultRowHeight="12.75" x14ac:dyDescent="0.2"/>
  <cols>
    <col min="1" max="4" width="25" style="12" customWidth="1"/>
    <col min="5" max="254" width="9.140625" style="1"/>
    <col min="255" max="259" width="18.5703125" style="1" customWidth="1"/>
    <col min="260" max="510" width="9.140625" style="1"/>
    <col min="511" max="515" width="18.5703125" style="1" customWidth="1"/>
    <col min="516" max="766" width="9.140625" style="1"/>
    <col min="767" max="771" width="18.5703125" style="1" customWidth="1"/>
    <col min="772" max="1022" width="9.140625" style="1"/>
    <col min="1023" max="1027" width="18.5703125" style="1" customWidth="1"/>
    <col min="1028" max="1278" width="9.140625" style="1"/>
    <col min="1279" max="1283" width="18.5703125" style="1" customWidth="1"/>
    <col min="1284" max="1534" width="9.140625" style="1"/>
    <col min="1535" max="1539" width="18.5703125" style="1" customWidth="1"/>
    <col min="1540" max="1790" width="9.140625" style="1"/>
    <col min="1791" max="1795" width="18.5703125" style="1" customWidth="1"/>
    <col min="1796" max="2046" width="9.140625" style="1"/>
    <col min="2047" max="2051" width="18.5703125" style="1" customWidth="1"/>
    <col min="2052" max="2302" width="9.140625" style="1"/>
    <col min="2303" max="2307" width="18.5703125" style="1" customWidth="1"/>
    <col min="2308" max="2558" width="9.140625" style="1"/>
    <col min="2559" max="2563" width="18.5703125" style="1" customWidth="1"/>
    <col min="2564" max="2814" width="9.140625" style="1"/>
    <col min="2815" max="2819" width="18.5703125" style="1" customWidth="1"/>
    <col min="2820" max="3070" width="9.140625" style="1"/>
    <col min="3071" max="3075" width="18.5703125" style="1" customWidth="1"/>
    <col min="3076" max="3326" width="9.140625" style="1"/>
    <col min="3327" max="3331" width="18.5703125" style="1" customWidth="1"/>
    <col min="3332" max="3582" width="9.140625" style="1"/>
    <col min="3583" max="3587" width="18.5703125" style="1" customWidth="1"/>
    <col min="3588" max="3838" width="9.140625" style="1"/>
    <col min="3839" max="3843" width="18.5703125" style="1" customWidth="1"/>
    <col min="3844" max="4094" width="9.140625" style="1"/>
    <col min="4095" max="4099" width="18.5703125" style="1" customWidth="1"/>
    <col min="4100" max="4350" width="9.140625" style="1"/>
    <col min="4351" max="4355" width="18.5703125" style="1" customWidth="1"/>
    <col min="4356" max="4606" width="9.140625" style="1"/>
    <col min="4607" max="4611" width="18.5703125" style="1" customWidth="1"/>
    <col min="4612" max="4862" width="9.140625" style="1"/>
    <col min="4863" max="4867" width="18.5703125" style="1" customWidth="1"/>
    <col min="4868" max="5118" width="9.140625" style="1"/>
    <col min="5119" max="5123" width="18.5703125" style="1" customWidth="1"/>
    <col min="5124" max="5374" width="9.140625" style="1"/>
    <col min="5375" max="5379" width="18.5703125" style="1" customWidth="1"/>
    <col min="5380" max="5630" width="9.140625" style="1"/>
    <col min="5631" max="5635" width="18.5703125" style="1" customWidth="1"/>
    <col min="5636" max="5886" width="9.140625" style="1"/>
    <col min="5887" max="5891" width="18.5703125" style="1" customWidth="1"/>
    <col min="5892" max="6142" width="9.140625" style="1"/>
    <col min="6143" max="6147" width="18.5703125" style="1" customWidth="1"/>
    <col min="6148" max="6398" width="9.140625" style="1"/>
    <col min="6399" max="6403" width="18.5703125" style="1" customWidth="1"/>
    <col min="6404" max="6654" width="9.140625" style="1"/>
    <col min="6655" max="6659" width="18.5703125" style="1" customWidth="1"/>
    <col min="6660" max="6910" width="9.140625" style="1"/>
    <col min="6911" max="6915" width="18.5703125" style="1" customWidth="1"/>
    <col min="6916" max="7166" width="9.140625" style="1"/>
    <col min="7167" max="7171" width="18.5703125" style="1" customWidth="1"/>
    <col min="7172" max="7422" width="9.140625" style="1"/>
    <col min="7423" max="7427" width="18.5703125" style="1" customWidth="1"/>
    <col min="7428" max="7678" width="9.140625" style="1"/>
    <col min="7679" max="7683" width="18.5703125" style="1" customWidth="1"/>
    <col min="7684" max="7934" width="9.140625" style="1"/>
    <col min="7935" max="7939" width="18.5703125" style="1" customWidth="1"/>
    <col min="7940" max="8190" width="9.140625" style="1"/>
    <col min="8191" max="8195" width="18.5703125" style="1" customWidth="1"/>
    <col min="8196" max="8446" width="9.140625" style="1"/>
    <col min="8447" max="8451" width="18.5703125" style="1" customWidth="1"/>
    <col min="8452" max="8702" width="9.140625" style="1"/>
    <col min="8703" max="8707" width="18.5703125" style="1" customWidth="1"/>
    <col min="8708" max="8958" width="9.140625" style="1"/>
    <col min="8959" max="8963" width="18.5703125" style="1" customWidth="1"/>
    <col min="8964" max="9214" width="9.140625" style="1"/>
    <col min="9215" max="9219" width="18.5703125" style="1" customWidth="1"/>
    <col min="9220" max="9470" width="9.140625" style="1"/>
    <col min="9471" max="9475" width="18.5703125" style="1" customWidth="1"/>
    <col min="9476" max="9726" width="9.140625" style="1"/>
    <col min="9727" max="9731" width="18.5703125" style="1" customWidth="1"/>
    <col min="9732" max="9982" width="9.140625" style="1"/>
    <col min="9983" max="9987" width="18.5703125" style="1" customWidth="1"/>
    <col min="9988" max="10238" width="9.140625" style="1"/>
    <col min="10239" max="10243" width="18.5703125" style="1" customWidth="1"/>
    <col min="10244" max="10494" width="9.140625" style="1"/>
    <col min="10495" max="10499" width="18.5703125" style="1" customWidth="1"/>
    <col min="10500" max="10750" width="9.140625" style="1"/>
    <col min="10751" max="10755" width="18.5703125" style="1" customWidth="1"/>
    <col min="10756" max="11006" width="9.140625" style="1"/>
    <col min="11007" max="11011" width="18.5703125" style="1" customWidth="1"/>
    <col min="11012" max="11262" width="9.140625" style="1"/>
    <col min="11263" max="11267" width="18.5703125" style="1" customWidth="1"/>
    <col min="11268" max="11518" width="9.140625" style="1"/>
    <col min="11519" max="11523" width="18.5703125" style="1" customWidth="1"/>
    <col min="11524" max="11774" width="9.140625" style="1"/>
    <col min="11775" max="11779" width="18.5703125" style="1" customWidth="1"/>
    <col min="11780" max="12030" width="9.140625" style="1"/>
    <col min="12031" max="12035" width="18.5703125" style="1" customWidth="1"/>
    <col min="12036" max="12286" width="9.140625" style="1"/>
    <col min="12287" max="12291" width="18.5703125" style="1" customWidth="1"/>
    <col min="12292" max="12542" width="9.140625" style="1"/>
    <col min="12543" max="12547" width="18.5703125" style="1" customWidth="1"/>
    <col min="12548" max="12798" width="9.140625" style="1"/>
    <col min="12799" max="12803" width="18.5703125" style="1" customWidth="1"/>
    <col min="12804" max="13054" width="9.140625" style="1"/>
    <col min="13055" max="13059" width="18.5703125" style="1" customWidth="1"/>
    <col min="13060" max="13310" width="9.140625" style="1"/>
    <col min="13311" max="13315" width="18.5703125" style="1" customWidth="1"/>
    <col min="13316" max="13566" width="9.140625" style="1"/>
    <col min="13567" max="13571" width="18.5703125" style="1" customWidth="1"/>
    <col min="13572" max="13822" width="9.140625" style="1"/>
    <col min="13823" max="13827" width="18.5703125" style="1" customWidth="1"/>
    <col min="13828" max="14078" width="9.140625" style="1"/>
    <col min="14079" max="14083" width="18.5703125" style="1" customWidth="1"/>
    <col min="14084" max="14334" width="9.140625" style="1"/>
    <col min="14335" max="14339" width="18.5703125" style="1" customWidth="1"/>
    <col min="14340" max="14590" width="9.140625" style="1"/>
    <col min="14591" max="14595" width="18.5703125" style="1" customWidth="1"/>
    <col min="14596" max="14846" width="9.140625" style="1"/>
    <col min="14847" max="14851" width="18.5703125" style="1" customWidth="1"/>
    <col min="14852" max="15102" width="9.140625" style="1"/>
    <col min="15103" max="15107" width="18.5703125" style="1" customWidth="1"/>
    <col min="15108" max="15358" width="9.140625" style="1"/>
    <col min="15359" max="15363" width="18.5703125" style="1" customWidth="1"/>
    <col min="15364" max="15614" width="9.140625" style="1"/>
    <col min="15615" max="15619" width="18.5703125" style="1" customWidth="1"/>
    <col min="15620" max="15870" width="9.140625" style="1"/>
    <col min="15871" max="15875" width="18.5703125" style="1" customWidth="1"/>
    <col min="15876" max="16126" width="9.140625" style="1"/>
    <col min="16127" max="16131" width="18.5703125" style="1" customWidth="1"/>
    <col min="16132" max="16384" width="9.140625" style="1"/>
  </cols>
  <sheetData>
    <row r="1" spans="1:8" ht="15" customHeight="1" x14ac:dyDescent="0.25">
      <c r="A1" s="100" t="s">
        <v>0</v>
      </c>
      <c r="B1" s="100"/>
      <c r="C1" s="100"/>
      <c r="D1" s="100"/>
    </row>
    <row r="2" spans="1:8" ht="15" customHeight="1" x14ac:dyDescent="0.25">
      <c r="A2" s="100" t="s">
        <v>154</v>
      </c>
      <c r="B2" s="100"/>
      <c r="C2" s="100"/>
      <c r="D2" s="100"/>
      <c r="E2" s="45"/>
      <c r="F2" s="45"/>
      <c r="G2" s="45"/>
      <c r="H2" s="45"/>
    </row>
    <row r="3" spans="1:8" ht="15" customHeight="1" x14ac:dyDescent="0.25">
      <c r="A3" s="101" t="s">
        <v>1</v>
      </c>
      <c r="B3" s="101"/>
      <c r="C3" s="101"/>
      <c r="D3" s="101"/>
    </row>
    <row r="4" spans="1:8" ht="15" customHeight="1" x14ac:dyDescent="0.25">
      <c r="A4" s="101" t="s">
        <v>71</v>
      </c>
      <c r="B4" s="101"/>
      <c r="C4" s="101"/>
      <c r="D4" s="101"/>
    </row>
    <row r="5" spans="1:8" ht="15" customHeight="1" x14ac:dyDescent="0.25">
      <c r="A5" s="101" t="s">
        <v>72</v>
      </c>
      <c r="B5" s="101"/>
      <c r="C5" s="101"/>
      <c r="D5" s="101"/>
    </row>
    <row r="6" spans="1:8" ht="8.25" customHeight="1" x14ac:dyDescent="0.2">
      <c r="A6" s="104" t="s">
        <v>76</v>
      </c>
      <c r="B6" s="104"/>
      <c r="C6" s="104"/>
      <c r="D6" s="104"/>
    </row>
    <row r="7" spans="1:8" ht="15" customHeight="1" x14ac:dyDescent="0.2">
      <c r="A7" s="104"/>
      <c r="B7" s="104"/>
      <c r="C7" s="104"/>
      <c r="D7" s="104"/>
    </row>
    <row r="8" spans="1:8" ht="23.25" customHeight="1" x14ac:dyDescent="0.2">
      <c r="A8" s="104"/>
      <c r="B8" s="104"/>
      <c r="C8" s="104"/>
      <c r="D8" s="104"/>
    </row>
    <row r="9" spans="1:8" ht="15" customHeight="1" x14ac:dyDescent="0.2">
      <c r="A9" s="103" t="s">
        <v>120</v>
      </c>
      <c r="B9" s="103"/>
      <c r="C9" s="103"/>
      <c r="D9" s="103"/>
    </row>
    <row r="10" spans="1:8" ht="9" customHeight="1" x14ac:dyDescent="0.2">
      <c r="A10" s="22"/>
      <c r="B10" s="22"/>
      <c r="C10" s="22"/>
      <c r="D10" s="22"/>
    </row>
    <row r="11" spans="1:8" ht="9" customHeight="1" x14ac:dyDescent="0.2">
      <c r="A11" s="99"/>
      <c r="B11" s="99"/>
      <c r="C11" s="99"/>
      <c r="D11" s="99"/>
    </row>
    <row r="12" spans="1:8" x14ac:dyDescent="0.2">
      <c r="A12" s="3" t="s">
        <v>43</v>
      </c>
      <c r="B12" s="20" t="s">
        <v>44</v>
      </c>
      <c r="C12" s="20" t="s">
        <v>45</v>
      </c>
      <c r="D12" s="20" t="s">
        <v>46</v>
      </c>
    </row>
    <row r="13" spans="1:8" ht="8.25" customHeight="1" x14ac:dyDescent="0.2"/>
    <row r="14" spans="1:8" s="5" customFormat="1" ht="12" customHeight="1" x14ac:dyDescent="0.2">
      <c r="A14" s="4" t="s">
        <v>6</v>
      </c>
      <c r="B14" s="15">
        <v>210000</v>
      </c>
      <c r="C14" s="15">
        <f>85206.25+79956.25</f>
        <v>165162.5</v>
      </c>
      <c r="D14" s="15">
        <f t="shared" ref="D14:D27" si="0">+B14+C14</f>
        <v>375162.5</v>
      </c>
    </row>
    <row r="15" spans="1:8" s="5" customFormat="1" ht="12" customHeight="1" x14ac:dyDescent="0.2">
      <c r="A15" s="4" t="s">
        <v>7</v>
      </c>
      <c r="B15" s="15">
        <v>225000</v>
      </c>
      <c r="C15" s="15">
        <f>79956.25+74331.25</f>
        <v>154287.5</v>
      </c>
      <c r="D15" s="15">
        <f t="shared" si="0"/>
        <v>379287.5</v>
      </c>
    </row>
    <row r="16" spans="1:8" s="5" customFormat="1" ht="12" customHeight="1" x14ac:dyDescent="0.2">
      <c r="A16" s="4" t="s">
        <v>8</v>
      </c>
      <c r="B16" s="15">
        <v>235000</v>
      </c>
      <c r="C16" s="15">
        <f>74331.25+68456.25</f>
        <v>142787.5</v>
      </c>
      <c r="D16" s="15">
        <f t="shared" si="0"/>
        <v>377787.5</v>
      </c>
    </row>
    <row r="17" spans="1:4" s="5" customFormat="1" ht="12" customHeight="1" x14ac:dyDescent="0.2">
      <c r="A17" s="4" t="s">
        <v>9</v>
      </c>
      <c r="B17" s="15">
        <v>245000</v>
      </c>
      <c r="C17" s="15">
        <f>68456.25+62331.25</f>
        <v>130787.5</v>
      </c>
      <c r="D17" s="15">
        <f t="shared" si="0"/>
        <v>375787.5</v>
      </c>
    </row>
    <row r="18" spans="1:4" s="5" customFormat="1" ht="12" customHeight="1" x14ac:dyDescent="0.2">
      <c r="A18" s="4" t="s">
        <v>12</v>
      </c>
      <c r="B18" s="15">
        <v>260000</v>
      </c>
      <c r="C18" s="15">
        <f>62331.25+55831.25</f>
        <v>118162.5</v>
      </c>
      <c r="D18" s="15">
        <f t="shared" si="0"/>
        <v>378162.5</v>
      </c>
    </row>
    <row r="19" spans="1:4" s="5" customFormat="1" ht="12" customHeight="1" x14ac:dyDescent="0.2">
      <c r="A19" s="4" t="s">
        <v>18</v>
      </c>
      <c r="B19" s="15">
        <v>270000</v>
      </c>
      <c r="C19" s="15">
        <f>55831.25+49081.25</f>
        <v>104912.5</v>
      </c>
      <c r="D19" s="15">
        <f t="shared" si="0"/>
        <v>374912.5</v>
      </c>
    </row>
    <row r="20" spans="1:4" s="5" customFormat="1" ht="12" customHeight="1" x14ac:dyDescent="0.2">
      <c r="A20" s="4" t="s">
        <v>19</v>
      </c>
      <c r="B20" s="15">
        <v>285000</v>
      </c>
      <c r="C20" s="15">
        <f>49081.25+43381.25</f>
        <v>92462.5</v>
      </c>
      <c r="D20" s="15">
        <f t="shared" si="0"/>
        <v>377462.5</v>
      </c>
    </row>
    <row r="21" spans="1:4" s="5" customFormat="1" ht="12" customHeight="1" x14ac:dyDescent="0.2">
      <c r="A21" s="4" t="s">
        <v>20</v>
      </c>
      <c r="B21" s="15">
        <v>295000</v>
      </c>
      <c r="C21" s="15">
        <f>43381.25+37481.25</f>
        <v>80862.5</v>
      </c>
      <c r="D21" s="15">
        <f t="shared" si="0"/>
        <v>375862.5</v>
      </c>
    </row>
    <row r="22" spans="1:4" s="5" customFormat="1" ht="12" customHeight="1" x14ac:dyDescent="0.2">
      <c r="A22" s="4" t="s">
        <v>21</v>
      </c>
      <c r="B22" s="15">
        <v>310000</v>
      </c>
      <c r="C22" s="15">
        <f>37481.25+31281.25</f>
        <v>68762.5</v>
      </c>
      <c r="D22" s="15">
        <f t="shared" si="0"/>
        <v>378762.5</v>
      </c>
    </row>
    <row r="23" spans="1:4" s="5" customFormat="1" ht="12" customHeight="1" x14ac:dyDescent="0.2">
      <c r="A23" s="4" t="s">
        <v>24</v>
      </c>
      <c r="B23" s="15">
        <v>320000</v>
      </c>
      <c r="C23" s="15">
        <f>31281.25+26481.25</f>
        <v>57762.5</v>
      </c>
      <c r="D23" s="15">
        <f t="shared" si="0"/>
        <v>377762.5</v>
      </c>
    </row>
    <row r="24" spans="1:4" s="5" customFormat="1" ht="12" customHeight="1" x14ac:dyDescent="0.2">
      <c r="A24" s="4" t="s">
        <v>25</v>
      </c>
      <c r="B24" s="15">
        <v>330000</v>
      </c>
      <c r="C24" s="15">
        <f>26481.25+21531.25</f>
        <v>48012.5</v>
      </c>
      <c r="D24" s="15">
        <f t="shared" si="0"/>
        <v>378012.5</v>
      </c>
    </row>
    <row r="25" spans="1:4" s="5" customFormat="1" ht="12" customHeight="1" x14ac:dyDescent="0.2">
      <c r="A25" s="4" t="s">
        <v>41</v>
      </c>
      <c r="B25" s="15">
        <v>340000</v>
      </c>
      <c r="C25" s="15">
        <f>21531.25+16431.25</f>
        <v>37962.5</v>
      </c>
      <c r="D25" s="15">
        <f t="shared" si="0"/>
        <v>377962.5</v>
      </c>
    </row>
    <row r="26" spans="1:4" s="5" customFormat="1" ht="12" customHeight="1" x14ac:dyDescent="0.2">
      <c r="A26" s="4" t="s">
        <v>49</v>
      </c>
      <c r="B26" s="15">
        <v>350000</v>
      </c>
      <c r="C26" s="15">
        <f>16431.25+11181.25</f>
        <v>27612.5</v>
      </c>
      <c r="D26" s="15">
        <f t="shared" si="0"/>
        <v>377612.5</v>
      </c>
    </row>
    <row r="27" spans="1:4" s="5" customFormat="1" ht="12" customHeight="1" x14ac:dyDescent="0.2">
      <c r="A27" s="4" t="s">
        <v>52</v>
      </c>
      <c r="B27" s="15">
        <v>360000</v>
      </c>
      <c r="C27" s="15">
        <f>11181.25+5781.25</f>
        <v>16962.5</v>
      </c>
      <c r="D27" s="15">
        <f t="shared" si="0"/>
        <v>376962.5</v>
      </c>
    </row>
    <row r="28" spans="1:4" s="5" customFormat="1" ht="12" customHeight="1" x14ac:dyDescent="0.2">
      <c r="A28" s="4" t="s">
        <v>75</v>
      </c>
      <c r="B28" s="15">
        <v>370000</v>
      </c>
      <c r="C28" s="15">
        <v>5781.25</v>
      </c>
      <c r="D28" s="15">
        <f t="shared" ref="D28" si="1">+B28+C28</f>
        <v>375781.25</v>
      </c>
    </row>
    <row r="29" spans="1:4" s="5" customFormat="1" ht="12" customHeight="1" x14ac:dyDescent="0.2">
      <c r="A29" s="6" t="s">
        <v>4</v>
      </c>
      <c r="B29" s="16">
        <f>SUM(B13:B28)</f>
        <v>4405000</v>
      </c>
      <c r="C29" s="16">
        <f t="shared" ref="C29:D29" si="2">SUM(C13:C28)</f>
        <v>1252281.25</v>
      </c>
      <c r="D29" s="16">
        <f t="shared" si="2"/>
        <v>5657281.25</v>
      </c>
    </row>
    <row r="30" spans="1:4" ht="11.25" customHeight="1" x14ac:dyDescent="0.2">
      <c r="A30" s="7"/>
      <c r="C30" s="9"/>
      <c r="D30" s="9"/>
    </row>
    <row r="31" spans="1:4" ht="11.25" customHeight="1" x14ac:dyDescent="0.2">
      <c r="A31" s="7"/>
      <c r="B31" s="9"/>
      <c r="C31" s="9"/>
      <c r="D31" s="9"/>
    </row>
    <row r="32" spans="1:4" ht="11.25" customHeight="1" x14ac:dyDescent="0.2">
      <c r="A32" s="7"/>
      <c r="B32" s="9"/>
      <c r="C32" s="9"/>
      <c r="D32" s="9"/>
    </row>
    <row r="33" spans="1:4" ht="11.25" customHeight="1" x14ac:dyDescent="0.2">
      <c r="A33" s="7"/>
      <c r="B33" s="9"/>
      <c r="C33" s="9"/>
      <c r="D33" s="9"/>
    </row>
    <row r="34" spans="1:4" ht="11.25" customHeight="1" x14ac:dyDescent="0.2">
      <c r="A34" s="7"/>
      <c r="B34" s="9"/>
      <c r="C34" s="9"/>
      <c r="D34" s="9"/>
    </row>
    <row r="35" spans="1:4" ht="11.25" customHeight="1" x14ac:dyDescent="0.2">
      <c r="A35" s="7"/>
      <c r="B35" s="9"/>
      <c r="C35" s="9"/>
      <c r="D35" s="9"/>
    </row>
    <row r="36" spans="1:4" ht="11.25" customHeight="1" x14ac:dyDescent="0.2">
      <c r="A36" s="7"/>
      <c r="B36" s="9"/>
      <c r="C36" s="9"/>
      <c r="D36" s="9"/>
    </row>
    <row r="37" spans="1:4" x14ac:dyDescent="0.2">
      <c r="A37" s="7"/>
      <c r="B37" s="17"/>
      <c r="C37" s="17"/>
      <c r="D37" s="17"/>
    </row>
    <row r="38" spans="1:4" x14ac:dyDescent="0.2">
      <c r="A38" s="7"/>
      <c r="B38" s="17"/>
      <c r="C38" s="17"/>
      <c r="D38" s="17"/>
    </row>
    <row r="39" spans="1:4" x14ac:dyDescent="0.2">
      <c r="A39" s="7"/>
      <c r="B39" s="17"/>
      <c r="C39" s="17"/>
      <c r="D39" s="17"/>
    </row>
    <row r="40" spans="1:4" x14ac:dyDescent="0.2">
      <c r="A40" s="7"/>
      <c r="B40" s="17"/>
      <c r="C40" s="17"/>
      <c r="D40" s="17"/>
    </row>
    <row r="41" spans="1:4" x14ac:dyDescent="0.2">
      <c r="A41" s="7"/>
      <c r="B41" s="17"/>
      <c r="C41" s="17"/>
      <c r="D41" s="17"/>
    </row>
    <row r="42" spans="1:4" x14ac:dyDescent="0.2">
      <c r="A42" s="7"/>
      <c r="B42" s="17"/>
      <c r="C42" s="17"/>
      <c r="D42" s="17"/>
    </row>
    <row r="43" spans="1:4" x14ac:dyDescent="0.2">
      <c r="A43" s="7"/>
      <c r="B43" s="17"/>
      <c r="C43" s="17"/>
      <c r="D43" s="17"/>
    </row>
    <row r="44" spans="1:4" x14ac:dyDescent="0.2">
      <c r="A44" s="7"/>
      <c r="B44" s="17"/>
      <c r="C44" s="17"/>
      <c r="D44" s="17"/>
    </row>
    <row r="45" spans="1:4" x14ac:dyDescent="0.2">
      <c r="A45" s="7"/>
      <c r="B45" s="17"/>
      <c r="C45" s="17"/>
      <c r="D45" s="17"/>
    </row>
    <row r="46" spans="1:4" x14ac:dyDescent="0.2">
      <c r="A46" s="7"/>
      <c r="B46" s="17"/>
      <c r="C46" s="17"/>
      <c r="D46" s="17"/>
    </row>
    <row r="47" spans="1:4" x14ac:dyDescent="0.2">
      <c r="B47" s="17"/>
      <c r="C47" s="17"/>
      <c r="D47" s="17"/>
    </row>
    <row r="48" spans="1:4" x14ac:dyDescent="0.2">
      <c r="B48" s="17"/>
      <c r="C48" s="17"/>
      <c r="D48" s="17"/>
    </row>
    <row r="49" spans="2:4" x14ac:dyDescent="0.2">
      <c r="B49" s="17"/>
      <c r="C49" s="17"/>
      <c r="D49" s="17"/>
    </row>
    <row r="50" spans="2:4" x14ac:dyDescent="0.2">
      <c r="B50" s="17"/>
      <c r="C50" s="17"/>
      <c r="D50" s="17"/>
    </row>
    <row r="51" spans="2:4" x14ac:dyDescent="0.2">
      <c r="B51" s="17"/>
      <c r="C51" s="17"/>
      <c r="D51" s="17"/>
    </row>
    <row r="52" spans="2:4" x14ac:dyDescent="0.2">
      <c r="B52" s="17"/>
      <c r="C52" s="17"/>
      <c r="D52" s="17"/>
    </row>
    <row r="53" spans="2:4" x14ac:dyDescent="0.2">
      <c r="B53" s="17"/>
      <c r="C53" s="17"/>
      <c r="D53" s="17"/>
    </row>
    <row r="54" spans="2:4" x14ac:dyDescent="0.2">
      <c r="B54" s="17"/>
      <c r="C54" s="17"/>
      <c r="D54" s="17"/>
    </row>
    <row r="55" spans="2:4" x14ac:dyDescent="0.2">
      <c r="B55" s="17"/>
      <c r="C55" s="17"/>
      <c r="D55" s="17"/>
    </row>
    <row r="56" spans="2:4" x14ac:dyDescent="0.2">
      <c r="B56" s="17"/>
      <c r="C56" s="17"/>
      <c r="D56" s="17"/>
    </row>
  </sheetData>
  <mergeCells count="8">
    <mergeCell ref="A11:D11"/>
    <mergeCell ref="A1:D1"/>
    <mergeCell ref="A2:D2"/>
    <mergeCell ref="A3:D3"/>
    <mergeCell ref="A4:D4"/>
    <mergeCell ref="A5:D5"/>
    <mergeCell ref="A6:D8"/>
    <mergeCell ref="A9:D9"/>
  </mergeCells>
  <pageMargins left="0.75" right="0.4" top="0.75" bottom="0.75" header="0.5" footer="0.5"/>
  <pageSetup scale="90" firstPageNumber="0" orientation="portrait"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681B8-1891-4F4F-B723-CBCAC8EA9469}">
  <dimension ref="A1:M45"/>
  <sheetViews>
    <sheetView workbookViewId="0">
      <selection activeCell="H34" sqref="H34"/>
    </sheetView>
  </sheetViews>
  <sheetFormatPr defaultRowHeight="12.75" x14ac:dyDescent="0.2"/>
  <cols>
    <col min="1" max="4" width="25" style="12" customWidth="1"/>
    <col min="5" max="254" width="9.140625" style="1"/>
    <col min="255" max="259" width="18.5703125" style="1" customWidth="1"/>
    <col min="260" max="510" width="9.140625" style="1"/>
    <col min="511" max="515" width="18.5703125" style="1" customWidth="1"/>
    <col min="516" max="766" width="9.140625" style="1"/>
    <col min="767" max="771" width="18.5703125" style="1" customWidth="1"/>
    <col min="772" max="1022" width="9.140625" style="1"/>
    <col min="1023" max="1027" width="18.5703125" style="1" customWidth="1"/>
    <col min="1028" max="1278" width="9.140625" style="1"/>
    <col min="1279" max="1283" width="18.5703125" style="1" customWidth="1"/>
    <col min="1284" max="1534" width="9.140625" style="1"/>
    <col min="1535" max="1539" width="18.5703125" style="1" customWidth="1"/>
    <col min="1540" max="1790" width="9.140625" style="1"/>
    <col min="1791" max="1795" width="18.5703125" style="1" customWidth="1"/>
    <col min="1796" max="2046" width="9.140625" style="1"/>
    <col min="2047" max="2051" width="18.5703125" style="1" customWidth="1"/>
    <col min="2052" max="2302" width="9.140625" style="1"/>
    <col min="2303" max="2307" width="18.5703125" style="1" customWidth="1"/>
    <col min="2308" max="2558" width="9.140625" style="1"/>
    <col min="2559" max="2563" width="18.5703125" style="1" customWidth="1"/>
    <col min="2564" max="2814" width="9.140625" style="1"/>
    <col min="2815" max="2819" width="18.5703125" style="1" customWidth="1"/>
    <col min="2820" max="3070" width="9.140625" style="1"/>
    <col min="3071" max="3075" width="18.5703125" style="1" customWidth="1"/>
    <col min="3076" max="3326" width="9.140625" style="1"/>
    <col min="3327" max="3331" width="18.5703125" style="1" customWidth="1"/>
    <col min="3332" max="3582" width="9.140625" style="1"/>
    <col min="3583" max="3587" width="18.5703125" style="1" customWidth="1"/>
    <col min="3588" max="3838" width="9.140625" style="1"/>
    <col min="3839" max="3843" width="18.5703125" style="1" customWidth="1"/>
    <col min="3844" max="4094" width="9.140625" style="1"/>
    <col min="4095" max="4099" width="18.5703125" style="1" customWidth="1"/>
    <col min="4100" max="4350" width="9.140625" style="1"/>
    <col min="4351" max="4355" width="18.5703125" style="1" customWidth="1"/>
    <col min="4356" max="4606" width="9.140625" style="1"/>
    <col min="4607" max="4611" width="18.5703125" style="1" customWidth="1"/>
    <col min="4612" max="4862" width="9.140625" style="1"/>
    <col min="4863" max="4867" width="18.5703125" style="1" customWidth="1"/>
    <col min="4868" max="5118" width="9.140625" style="1"/>
    <col min="5119" max="5123" width="18.5703125" style="1" customWidth="1"/>
    <col min="5124" max="5374" width="9.140625" style="1"/>
    <col min="5375" max="5379" width="18.5703125" style="1" customWidth="1"/>
    <col min="5380" max="5630" width="9.140625" style="1"/>
    <col min="5631" max="5635" width="18.5703125" style="1" customWidth="1"/>
    <col min="5636" max="5886" width="9.140625" style="1"/>
    <col min="5887" max="5891" width="18.5703125" style="1" customWidth="1"/>
    <col min="5892" max="6142" width="9.140625" style="1"/>
    <col min="6143" max="6147" width="18.5703125" style="1" customWidth="1"/>
    <col min="6148" max="6398" width="9.140625" style="1"/>
    <col min="6399" max="6403" width="18.5703125" style="1" customWidth="1"/>
    <col min="6404" max="6654" width="9.140625" style="1"/>
    <col min="6655" max="6659" width="18.5703125" style="1" customWidth="1"/>
    <col min="6660" max="6910" width="9.140625" style="1"/>
    <col min="6911" max="6915" width="18.5703125" style="1" customWidth="1"/>
    <col min="6916" max="7166" width="9.140625" style="1"/>
    <col min="7167" max="7171" width="18.5703125" style="1" customWidth="1"/>
    <col min="7172" max="7422" width="9.140625" style="1"/>
    <col min="7423" max="7427" width="18.5703125" style="1" customWidth="1"/>
    <col min="7428" max="7678" width="9.140625" style="1"/>
    <col min="7679" max="7683" width="18.5703125" style="1" customWidth="1"/>
    <col min="7684" max="7934" width="9.140625" style="1"/>
    <col min="7935" max="7939" width="18.5703125" style="1" customWidth="1"/>
    <col min="7940" max="8190" width="9.140625" style="1"/>
    <col min="8191" max="8195" width="18.5703125" style="1" customWidth="1"/>
    <col min="8196" max="8446" width="9.140625" style="1"/>
    <col min="8447" max="8451" width="18.5703125" style="1" customWidth="1"/>
    <col min="8452" max="8702" width="9.140625" style="1"/>
    <col min="8703" max="8707" width="18.5703125" style="1" customWidth="1"/>
    <col min="8708" max="8958" width="9.140625" style="1"/>
    <col min="8959" max="8963" width="18.5703125" style="1" customWidth="1"/>
    <col min="8964" max="9214" width="9.140625" style="1"/>
    <col min="9215" max="9219" width="18.5703125" style="1" customWidth="1"/>
    <col min="9220" max="9470" width="9.140625" style="1"/>
    <col min="9471" max="9475" width="18.5703125" style="1" customWidth="1"/>
    <col min="9476" max="9726" width="9.140625" style="1"/>
    <col min="9727" max="9731" width="18.5703125" style="1" customWidth="1"/>
    <col min="9732" max="9982" width="9.140625" style="1"/>
    <col min="9983" max="9987" width="18.5703125" style="1" customWidth="1"/>
    <col min="9988" max="10238" width="9.140625" style="1"/>
    <col min="10239" max="10243" width="18.5703125" style="1" customWidth="1"/>
    <col min="10244" max="10494" width="9.140625" style="1"/>
    <col min="10495" max="10499" width="18.5703125" style="1" customWidth="1"/>
    <col min="10500" max="10750" width="9.140625" style="1"/>
    <col min="10751" max="10755" width="18.5703125" style="1" customWidth="1"/>
    <col min="10756" max="11006" width="9.140625" style="1"/>
    <col min="11007" max="11011" width="18.5703125" style="1" customWidth="1"/>
    <col min="11012" max="11262" width="9.140625" style="1"/>
    <col min="11263" max="11267" width="18.5703125" style="1" customWidth="1"/>
    <col min="11268" max="11518" width="9.140625" style="1"/>
    <col min="11519" max="11523" width="18.5703125" style="1" customWidth="1"/>
    <col min="11524" max="11774" width="9.140625" style="1"/>
    <col min="11775" max="11779" width="18.5703125" style="1" customWidth="1"/>
    <col min="11780" max="12030" width="9.140625" style="1"/>
    <col min="12031" max="12035" width="18.5703125" style="1" customWidth="1"/>
    <col min="12036" max="12286" width="9.140625" style="1"/>
    <col min="12287" max="12291" width="18.5703125" style="1" customWidth="1"/>
    <col min="12292" max="12542" width="9.140625" style="1"/>
    <col min="12543" max="12547" width="18.5703125" style="1" customWidth="1"/>
    <col min="12548" max="12798" width="9.140625" style="1"/>
    <col min="12799" max="12803" width="18.5703125" style="1" customWidth="1"/>
    <col min="12804" max="13054" width="9.140625" style="1"/>
    <col min="13055" max="13059" width="18.5703125" style="1" customWidth="1"/>
    <col min="13060" max="13310" width="9.140625" style="1"/>
    <col min="13311" max="13315" width="18.5703125" style="1" customWidth="1"/>
    <col min="13316" max="13566" width="9.140625" style="1"/>
    <col min="13567" max="13571" width="18.5703125" style="1" customWidth="1"/>
    <col min="13572" max="13822" width="9.140625" style="1"/>
    <col min="13823" max="13827" width="18.5703125" style="1" customWidth="1"/>
    <col min="13828" max="14078" width="9.140625" style="1"/>
    <col min="14079" max="14083" width="18.5703125" style="1" customWidth="1"/>
    <col min="14084" max="14334" width="9.140625" style="1"/>
    <col min="14335" max="14339" width="18.5703125" style="1" customWidth="1"/>
    <col min="14340" max="14590" width="9.140625" style="1"/>
    <col min="14591" max="14595" width="18.5703125" style="1" customWidth="1"/>
    <col min="14596" max="14846" width="9.140625" style="1"/>
    <col min="14847" max="14851" width="18.5703125" style="1" customWidth="1"/>
    <col min="14852" max="15102" width="9.140625" style="1"/>
    <col min="15103" max="15107" width="18.5703125" style="1" customWidth="1"/>
    <col min="15108" max="15358" width="9.140625" style="1"/>
    <col min="15359" max="15363" width="18.5703125" style="1" customWidth="1"/>
    <col min="15364" max="15614" width="9.140625" style="1"/>
    <col min="15615" max="15619" width="18.5703125" style="1" customWidth="1"/>
    <col min="15620" max="15870" width="9.140625" style="1"/>
    <col min="15871" max="15875" width="18.5703125" style="1" customWidth="1"/>
    <col min="15876" max="16126" width="9.140625" style="1"/>
    <col min="16127" max="16131" width="18.5703125" style="1" customWidth="1"/>
    <col min="16132" max="16384" width="9.140625" style="1"/>
  </cols>
  <sheetData>
    <row r="1" spans="1:13" ht="15" customHeight="1" x14ac:dyDescent="0.25">
      <c r="A1" s="100" t="s">
        <v>0</v>
      </c>
      <c r="B1" s="100"/>
      <c r="C1" s="100"/>
      <c r="D1" s="100"/>
    </row>
    <row r="2" spans="1:13" ht="15" customHeight="1" x14ac:dyDescent="0.25">
      <c r="A2" s="100" t="s">
        <v>154</v>
      </c>
      <c r="B2" s="100"/>
      <c r="C2" s="100"/>
      <c r="D2" s="100"/>
      <c r="E2" s="45"/>
      <c r="F2" s="45"/>
      <c r="G2" s="45"/>
      <c r="H2" s="45"/>
    </row>
    <row r="3" spans="1:13" ht="15" customHeight="1" x14ac:dyDescent="0.25">
      <c r="A3" s="101" t="s">
        <v>1</v>
      </c>
      <c r="B3" s="101"/>
      <c r="C3" s="101"/>
      <c r="D3" s="101"/>
    </row>
    <row r="4" spans="1:13" ht="15" customHeight="1" x14ac:dyDescent="0.25">
      <c r="A4" s="101" t="s">
        <v>73</v>
      </c>
      <c r="B4" s="101"/>
      <c r="C4" s="101"/>
      <c r="D4" s="101"/>
    </row>
    <row r="5" spans="1:13" ht="15" customHeight="1" x14ac:dyDescent="0.25">
      <c r="A5" s="101" t="s">
        <v>74</v>
      </c>
      <c r="B5" s="101"/>
      <c r="C5" s="101"/>
      <c r="D5" s="101"/>
    </row>
    <row r="6" spans="1:13" ht="8.25" customHeight="1" x14ac:dyDescent="0.2">
      <c r="A6" s="104" t="s">
        <v>101</v>
      </c>
      <c r="B6" s="104"/>
      <c r="C6" s="104"/>
      <c r="D6" s="104"/>
    </row>
    <row r="7" spans="1:13" ht="15" customHeight="1" x14ac:dyDescent="0.2">
      <c r="A7" s="104"/>
      <c r="B7" s="104"/>
      <c r="C7" s="104"/>
      <c r="D7" s="104"/>
    </row>
    <row r="8" spans="1:13" ht="42.75" customHeight="1" x14ac:dyDescent="0.2">
      <c r="A8" s="104"/>
      <c r="B8" s="104"/>
      <c r="C8" s="104"/>
      <c r="D8" s="104"/>
    </row>
    <row r="9" spans="1:13" ht="15" customHeight="1" x14ac:dyDescent="0.2">
      <c r="A9" s="103" t="s">
        <v>120</v>
      </c>
      <c r="B9" s="103"/>
      <c r="C9" s="103"/>
      <c r="D9" s="103"/>
    </row>
    <row r="10" spans="1:13" ht="9" customHeight="1" x14ac:dyDescent="0.2">
      <c r="A10" s="22"/>
      <c r="B10" s="22"/>
      <c r="C10" s="22"/>
      <c r="D10" s="22"/>
    </row>
    <row r="11" spans="1:13" ht="9" customHeight="1" x14ac:dyDescent="0.2">
      <c r="A11" s="99"/>
      <c r="B11" s="99"/>
      <c r="C11" s="99"/>
      <c r="D11" s="99"/>
    </row>
    <row r="12" spans="1:13" ht="12.75" customHeight="1" x14ac:dyDescent="0.2">
      <c r="A12" s="3" t="s">
        <v>43</v>
      </c>
      <c r="B12" s="20" t="s">
        <v>44</v>
      </c>
      <c r="C12" s="20" t="s">
        <v>45</v>
      </c>
      <c r="D12" s="20" t="s">
        <v>46</v>
      </c>
      <c r="I12" s="23"/>
      <c r="J12" s="23"/>
      <c r="K12" s="23"/>
      <c r="L12" s="23"/>
      <c r="M12" s="23"/>
    </row>
    <row r="13" spans="1:13" ht="8.25" customHeight="1" x14ac:dyDescent="0.2">
      <c r="I13" s="23"/>
      <c r="J13" s="23"/>
      <c r="K13" s="23"/>
      <c r="L13" s="23"/>
      <c r="M13" s="23"/>
    </row>
    <row r="14" spans="1:13" s="5" customFormat="1" ht="12" customHeight="1" x14ac:dyDescent="0.2">
      <c r="A14" s="4" t="s">
        <v>6</v>
      </c>
      <c r="B14" s="15">
        <v>325000</v>
      </c>
      <c r="C14" s="15">
        <f>30187.5+30187.5</f>
        <v>60375</v>
      </c>
      <c r="D14" s="15">
        <f t="shared" ref="D14:D17" si="0">+B14+C14</f>
        <v>385375</v>
      </c>
    </row>
    <row r="15" spans="1:13" s="5" customFormat="1" ht="12" customHeight="1" x14ac:dyDescent="0.2">
      <c r="A15" s="4" t="s">
        <v>7</v>
      </c>
      <c r="B15" s="15">
        <v>330000</v>
      </c>
      <c r="C15" s="15">
        <f>26125+26125</f>
        <v>52250</v>
      </c>
      <c r="D15" s="15">
        <f t="shared" si="0"/>
        <v>382250</v>
      </c>
    </row>
    <row r="16" spans="1:13" s="5" customFormat="1" ht="12" customHeight="1" x14ac:dyDescent="0.2">
      <c r="A16" s="4" t="s">
        <v>8</v>
      </c>
      <c r="B16" s="15">
        <v>350000</v>
      </c>
      <c r="C16" s="15">
        <f>17875+17875</f>
        <v>35750</v>
      </c>
      <c r="D16" s="15">
        <f t="shared" si="0"/>
        <v>385750</v>
      </c>
    </row>
    <row r="17" spans="1:4" s="5" customFormat="1" ht="12" customHeight="1" x14ac:dyDescent="0.2">
      <c r="A17" s="4" t="s">
        <v>9</v>
      </c>
      <c r="B17" s="15">
        <v>365000</v>
      </c>
      <c r="C17" s="15">
        <f>9125+9125</f>
        <v>18250</v>
      </c>
      <c r="D17" s="15">
        <f t="shared" si="0"/>
        <v>383250</v>
      </c>
    </row>
    <row r="18" spans="1:4" s="5" customFormat="1" ht="12" customHeight="1" x14ac:dyDescent="0.2">
      <c r="A18" s="6" t="s">
        <v>4</v>
      </c>
      <c r="B18" s="16">
        <f>SUM(B13:B17)</f>
        <v>1370000</v>
      </c>
      <c r="C18" s="16">
        <f>SUM(C13:C17)</f>
        <v>166625</v>
      </c>
      <c r="D18" s="16">
        <f>SUM(D13:D17)</f>
        <v>1536625</v>
      </c>
    </row>
    <row r="19" spans="1:4" ht="11.25" customHeight="1" x14ac:dyDescent="0.2">
      <c r="A19" s="7"/>
      <c r="C19" s="9"/>
      <c r="D19" s="9"/>
    </row>
    <row r="20" spans="1:4" ht="11.25" customHeight="1" x14ac:dyDescent="0.2">
      <c r="A20" s="7"/>
      <c r="B20" s="9"/>
      <c r="C20" s="9"/>
      <c r="D20" s="9"/>
    </row>
    <row r="21" spans="1:4" ht="11.25" customHeight="1" x14ac:dyDescent="0.2">
      <c r="A21" s="7"/>
      <c r="B21" s="9"/>
      <c r="C21" s="9"/>
      <c r="D21" s="9"/>
    </row>
    <row r="22" spans="1:4" ht="11.25" customHeight="1" x14ac:dyDescent="0.2">
      <c r="A22" s="7"/>
      <c r="B22" s="9"/>
      <c r="C22" s="9"/>
      <c r="D22" s="9"/>
    </row>
    <row r="23" spans="1:4" ht="11.25" customHeight="1" x14ac:dyDescent="0.2">
      <c r="A23" s="7"/>
      <c r="B23" s="9"/>
      <c r="C23" s="9"/>
      <c r="D23" s="9"/>
    </row>
    <row r="24" spans="1:4" ht="11.25" customHeight="1" x14ac:dyDescent="0.2">
      <c r="A24" s="7"/>
      <c r="B24" s="9"/>
      <c r="C24" s="9"/>
      <c r="D24" s="9"/>
    </row>
    <row r="25" spans="1:4" ht="11.25" customHeight="1" x14ac:dyDescent="0.2">
      <c r="A25" s="7"/>
      <c r="B25" s="9"/>
      <c r="C25" s="9"/>
      <c r="D25" s="9"/>
    </row>
    <row r="26" spans="1:4" x14ac:dyDescent="0.2">
      <c r="A26" s="7"/>
      <c r="B26" s="17"/>
      <c r="C26" s="17"/>
      <c r="D26" s="17"/>
    </row>
    <row r="27" spans="1:4" x14ac:dyDescent="0.2">
      <c r="A27" s="7"/>
      <c r="B27" s="17"/>
      <c r="C27" s="17"/>
      <c r="D27" s="17"/>
    </row>
    <row r="28" spans="1:4" x14ac:dyDescent="0.2">
      <c r="A28" s="7"/>
      <c r="B28" s="17"/>
      <c r="C28" s="17"/>
      <c r="D28" s="17"/>
    </row>
    <row r="29" spans="1:4" x14ac:dyDescent="0.2">
      <c r="A29" s="7"/>
      <c r="B29" s="17"/>
      <c r="C29" s="17"/>
      <c r="D29" s="17"/>
    </row>
    <row r="30" spans="1:4" x14ac:dyDescent="0.2">
      <c r="A30" s="7"/>
      <c r="B30" s="17"/>
      <c r="C30" s="17"/>
      <c r="D30" s="17"/>
    </row>
    <row r="31" spans="1:4" x14ac:dyDescent="0.2">
      <c r="A31" s="7"/>
      <c r="B31" s="17"/>
      <c r="C31" s="17"/>
      <c r="D31" s="17"/>
    </row>
    <row r="32" spans="1:4" x14ac:dyDescent="0.2">
      <c r="A32" s="7"/>
      <c r="B32" s="17"/>
      <c r="C32" s="17"/>
      <c r="D32" s="17"/>
    </row>
    <row r="33" spans="1:4" x14ac:dyDescent="0.2">
      <c r="A33" s="7"/>
      <c r="B33" s="17"/>
      <c r="C33" s="17"/>
      <c r="D33" s="17"/>
    </row>
    <row r="34" spans="1:4" x14ac:dyDescent="0.2">
      <c r="A34" s="7"/>
      <c r="B34" s="17"/>
      <c r="C34" s="17"/>
      <c r="D34" s="17"/>
    </row>
    <row r="35" spans="1:4" x14ac:dyDescent="0.2">
      <c r="A35" s="7"/>
      <c r="B35" s="17"/>
      <c r="C35" s="17"/>
      <c r="D35" s="17"/>
    </row>
    <row r="36" spans="1:4" x14ac:dyDescent="0.2">
      <c r="B36" s="17"/>
      <c r="C36" s="17"/>
      <c r="D36" s="17"/>
    </row>
    <row r="37" spans="1:4" x14ac:dyDescent="0.2">
      <c r="B37" s="17"/>
      <c r="C37" s="17"/>
      <c r="D37" s="17"/>
    </row>
    <row r="38" spans="1:4" x14ac:dyDescent="0.2">
      <c r="B38" s="17"/>
      <c r="C38" s="17"/>
      <c r="D38" s="17"/>
    </row>
    <row r="39" spans="1:4" x14ac:dyDescent="0.2">
      <c r="B39" s="17"/>
      <c r="C39" s="17"/>
      <c r="D39" s="17"/>
    </row>
    <row r="40" spans="1:4" x14ac:dyDescent="0.2">
      <c r="B40" s="17"/>
      <c r="C40" s="17"/>
      <c r="D40" s="17"/>
    </row>
    <row r="41" spans="1:4" x14ac:dyDescent="0.2">
      <c r="B41" s="17"/>
      <c r="C41" s="17"/>
      <c r="D41" s="17"/>
    </row>
    <row r="42" spans="1:4" x14ac:dyDescent="0.2">
      <c r="B42" s="17"/>
      <c r="C42" s="17"/>
      <c r="D42" s="17"/>
    </row>
    <row r="43" spans="1:4" x14ac:dyDescent="0.2">
      <c r="B43" s="17"/>
      <c r="C43" s="17"/>
      <c r="D43" s="17"/>
    </row>
    <row r="44" spans="1:4" x14ac:dyDescent="0.2">
      <c r="B44" s="17"/>
      <c r="C44" s="17"/>
      <c r="D44" s="17"/>
    </row>
    <row r="45" spans="1:4" x14ac:dyDescent="0.2">
      <c r="B45" s="17"/>
      <c r="C45" s="17"/>
      <c r="D45" s="17"/>
    </row>
  </sheetData>
  <mergeCells count="8">
    <mergeCell ref="A11:D11"/>
    <mergeCell ref="A1:D1"/>
    <mergeCell ref="A2:D2"/>
    <mergeCell ref="A3:D3"/>
    <mergeCell ref="A4:D4"/>
    <mergeCell ref="A5:D5"/>
    <mergeCell ref="A6:D8"/>
    <mergeCell ref="A9:D9"/>
  </mergeCells>
  <pageMargins left="0.75" right="0.4" top="0.75" bottom="0.75" header="0.5" footer="0.5"/>
  <pageSetup scale="90" firstPageNumber="0" orientation="portrait" useFirstPageNumber="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A0A58-2902-4D58-A5EC-C5D0AF00DC58}">
  <dimension ref="A1:H37"/>
  <sheetViews>
    <sheetView workbookViewId="0">
      <selection activeCell="H34" sqref="H34"/>
    </sheetView>
  </sheetViews>
  <sheetFormatPr defaultRowHeight="12.75" x14ac:dyDescent="0.2"/>
  <cols>
    <col min="1" max="4" width="25" style="12" customWidth="1"/>
    <col min="5" max="254" width="9.140625" style="1"/>
    <col min="255" max="259" width="18.5703125" style="1" customWidth="1"/>
    <col min="260" max="510" width="9.140625" style="1"/>
    <col min="511" max="515" width="18.5703125" style="1" customWidth="1"/>
    <col min="516" max="766" width="9.140625" style="1"/>
    <col min="767" max="771" width="18.5703125" style="1" customWidth="1"/>
    <col min="772" max="1022" width="9.140625" style="1"/>
    <col min="1023" max="1027" width="18.5703125" style="1" customWidth="1"/>
    <col min="1028" max="1278" width="9.140625" style="1"/>
    <col min="1279" max="1283" width="18.5703125" style="1" customWidth="1"/>
    <col min="1284" max="1534" width="9.140625" style="1"/>
    <col min="1535" max="1539" width="18.5703125" style="1" customWidth="1"/>
    <col min="1540" max="1790" width="9.140625" style="1"/>
    <col min="1791" max="1795" width="18.5703125" style="1" customWidth="1"/>
    <col min="1796" max="2046" width="9.140625" style="1"/>
    <col min="2047" max="2051" width="18.5703125" style="1" customWidth="1"/>
    <col min="2052" max="2302" width="9.140625" style="1"/>
    <col min="2303" max="2307" width="18.5703125" style="1" customWidth="1"/>
    <col min="2308" max="2558" width="9.140625" style="1"/>
    <col min="2559" max="2563" width="18.5703125" style="1" customWidth="1"/>
    <col min="2564" max="2814" width="9.140625" style="1"/>
    <col min="2815" max="2819" width="18.5703125" style="1" customWidth="1"/>
    <col min="2820" max="3070" width="9.140625" style="1"/>
    <col min="3071" max="3075" width="18.5703125" style="1" customWidth="1"/>
    <col min="3076" max="3326" width="9.140625" style="1"/>
    <col min="3327" max="3331" width="18.5703125" style="1" customWidth="1"/>
    <col min="3332" max="3582" width="9.140625" style="1"/>
    <col min="3583" max="3587" width="18.5703125" style="1" customWidth="1"/>
    <col min="3588" max="3838" width="9.140625" style="1"/>
    <col min="3839" max="3843" width="18.5703125" style="1" customWidth="1"/>
    <col min="3844" max="4094" width="9.140625" style="1"/>
    <col min="4095" max="4099" width="18.5703125" style="1" customWidth="1"/>
    <col min="4100" max="4350" width="9.140625" style="1"/>
    <col min="4351" max="4355" width="18.5703125" style="1" customWidth="1"/>
    <col min="4356" max="4606" width="9.140625" style="1"/>
    <col min="4607" max="4611" width="18.5703125" style="1" customWidth="1"/>
    <col min="4612" max="4862" width="9.140625" style="1"/>
    <col min="4863" max="4867" width="18.5703125" style="1" customWidth="1"/>
    <col min="4868" max="5118" width="9.140625" style="1"/>
    <col min="5119" max="5123" width="18.5703125" style="1" customWidth="1"/>
    <col min="5124" max="5374" width="9.140625" style="1"/>
    <col min="5375" max="5379" width="18.5703125" style="1" customWidth="1"/>
    <col min="5380" max="5630" width="9.140625" style="1"/>
    <col min="5631" max="5635" width="18.5703125" style="1" customWidth="1"/>
    <col min="5636" max="5886" width="9.140625" style="1"/>
    <col min="5887" max="5891" width="18.5703125" style="1" customWidth="1"/>
    <col min="5892" max="6142" width="9.140625" style="1"/>
    <col min="6143" max="6147" width="18.5703125" style="1" customWidth="1"/>
    <col min="6148" max="6398" width="9.140625" style="1"/>
    <col min="6399" max="6403" width="18.5703125" style="1" customWidth="1"/>
    <col min="6404" max="6654" width="9.140625" style="1"/>
    <col min="6655" max="6659" width="18.5703125" style="1" customWidth="1"/>
    <col min="6660" max="6910" width="9.140625" style="1"/>
    <col min="6911" max="6915" width="18.5703125" style="1" customWidth="1"/>
    <col min="6916" max="7166" width="9.140625" style="1"/>
    <col min="7167" max="7171" width="18.5703125" style="1" customWidth="1"/>
    <col min="7172" max="7422" width="9.140625" style="1"/>
    <col min="7423" max="7427" width="18.5703125" style="1" customWidth="1"/>
    <col min="7428" max="7678" width="9.140625" style="1"/>
    <col min="7679" max="7683" width="18.5703125" style="1" customWidth="1"/>
    <col min="7684" max="7934" width="9.140625" style="1"/>
    <col min="7935" max="7939" width="18.5703125" style="1" customWidth="1"/>
    <col min="7940" max="8190" width="9.140625" style="1"/>
    <col min="8191" max="8195" width="18.5703125" style="1" customWidth="1"/>
    <col min="8196" max="8446" width="9.140625" style="1"/>
    <col min="8447" max="8451" width="18.5703125" style="1" customWidth="1"/>
    <col min="8452" max="8702" width="9.140625" style="1"/>
    <col min="8703" max="8707" width="18.5703125" style="1" customWidth="1"/>
    <col min="8708" max="8958" width="9.140625" style="1"/>
    <col min="8959" max="8963" width="18.5703125" style="1" customWidth="1"/>
    <col min="8964" max="9214" width="9.140625" style="1"/>
    <col min="9215" max="9219" width="18.5703125" style="1" customWidth="1"/>
    <col min="9220" max="9470" width="9.140625" style="1"/>
    <col min="9471" max="9475" width="18.5703125" style="1" customWidth="1"/>
    <col min="9476" max="9726" width="9.140625" style="1"/>
    <col min="9727" max="9731" width="18.5703125" style="1" customWidth="1"/>
    <col min="9732" max="9982" width="9.140625" style="1"/>
    <col min="9983" max="9987" width="18.5703125" style="1" customWidth="1"/>
    <col min="9988" max="10238" width="9.140625" style="1"/>
    <col min="10239" max="10243" width="18.5703125" style="1" customWidth="1"/>
    <col min="10244" max="10494" width="9.140625" style="1"/>
    <col min="10495" max="10499" width="18.5703125" style="1" customWidth="1"/>
    <col min="10500" max="10750" width="9.140625" style="1"/>
    <col min="10751" max="10755" width="18.5703125" style="1" customWidth="1"/>
    <col min="10756" max="11006" width="9.140625" style="1"/>
    <col min="11007" max="11011" width="18.5703125" style="1" customWidth="1"/>
    <col min="11012" max="11262" width="9.140625" style="1"/>
    <col min="11263" max="11267" width="18.5703125" style="1" customWidth="1"/>
    <col min="11268" max="11518" width="9.140625" style="1"/>
    <col min="11519" max="11523" width="18.5703125" style="1" customWidth="1"/>
    <col min="11524" max="11774" width="9.140625" style="1"/>
    <col min="11775" max="11779" width="18.5703125" style="1" customWidth="1"/>
    <col min="11780" max="12030" width="9.140625" style="1"/>
    <col min="12031" max="12035" width="18.5703125" style="1" customWidth="1"/>
    <col min="12036" max="12286" width="9.140625" style="1"/>
    <col min="12287" max="12291" width="18.5703125" style="1" customWidth="1"/>
    <col min="12292" max="12542" width="9.140625" style="1"/>
    <col min="12543" max="12547" width="18.5703125" style="1" customWidth="1"/>
    <col min="12548" max="12798" width="9.140625" style="1"/>
    <col min="12799" max="12803" width="18.5703125" style="1" customWidth="1"/>
    <col min="12804" max="13054" width="9.140625" style="1"/>
    <col min="13055" max="13059" width="18.5703125" style="1" customWidth="1"/>
    <col min="13060" max="13310" width="9.140625" style="1"/>
    <col min="13311" max="13315" width="18.5703125" style="1" customWidth="1"/>
    <col min="13316" max="13566" width="9.140625" style="1"/>
    <col min="13567" max="13571" width="18.5703125" style="1" customWidth="1"/>
    <col min="13572" max="13822" width="9.140625" style="1"/>
    <col min="13823" max="13827" width="18.5703125" style="1" customWidth="1"/>
    <col min="13828" max="14078" width="9.140625" style="1"/>
    <col min="14079" max="14083" width="18.5703125" style="1" customWidth="1"/>
    <col min="14084" max="14334" width="9.140625" style="1"/>
    <col min="14335" max="14339" width="18.5703125" style="1" customWidth="1"/>
    <col min="14340" max="14590" width="9.140625" style="1"/>
    <col min="14591" max="14595" width="18.5703125" style="1" customWidth="1"/>
    <col min="14596" max="14846" width="9.140625" style="1"/>
    <col min="14847" max="14851" width="18.5703125" style="1" customWidth="1"/>
    <col min="14852" max="15102" width="9.140625" style="1"/>
    <col min="15103" max="15107" width="18.5703125" style="1" customWidth="1"/>
    <col min="15108" max="15358" width="9.140625" style="1"/>
    <col min="15359" max="15363" width="18.5703125" style="1" customWidth="1"/>
    <col min="15364" max="15614" width="9.140625" style="1"/>
    <col min="15615" max="15619" width="18.5703125" style="1" customWidth="1"/>
    <col min="15620" max="15870" width="9.140625" style="1"/>
    <col min="15871" max="15875" width="18.5703125" style="1" customWidth="1"/>
    <col min="15876" max="16126" width="9.140625" style="1"/>
    <col min="16127" max="16131" width="18.5703125" style="1" customWidth="1"/>
    <col min="16132" max="16384" width="9.140625" style="1"/>
  </cols>
  <sheetData>
    <row r="1" spans="1:8" ht="15" customHeight="1" x14ac:dyDescent="0.25">
      <c r="A1" s="100" t="s">
        <v>0</v>
      </c>
      <c r="B1" s="100"/>
      <c r="C1" s="100"/>
      <c r="D1" s="100"/>
    </row>
    <row r="2" spans="1:8" ht="15" customHeight="1" x14ac:dyDescent="0.25">
      <c r="A2" s="100" t="s">
        <v>154</v>
      </c>
      <c r="B2" s="100"/>
      <c r="C2" s="100"/>
      <c r="D2" s="100"/>
      <c r="E2" s="45"/>
      <c r="F2" s="45"/>
      <c r="G2" s="45"/>
      <c r="H2" s="45"/>
    </row>
    <row r="3" spans="1:8" ht="15" customHeight="1" x14ac:dyDescent="0.25">
      <c r="A3" s="101" t="s">
        <v>1</v>
      </c>
      <c r="B3" s="101"/>
      <c r="C3" s="101"/>
      <c r="D3" s="101"/>
    </row>
    <row r="4" spans="1:8" ht="15" customHeight="1" x14ac:dyDescent="0.25">
      <c r="A4" s="101" t="s">
        <v>78</v>
      </c>
      <c r="B4" s="101"/>
      <c r="C4" s="101"/>
      <c r="D4" s="101"/>
    </row>
    <row r="5" spans="1:8" ht="15" customHeight="1" x14ac:dyDescent="0.25">
      <c r="A5" s="101" t="s">
        <v>151</v>
      </c>
      <c r="B5" s="101"/>
      <c r="C5" s="101"/>
      <c r="D5" s="101"/>
    </row>
    <row r="6" spans="1:8" ht="8.25" customHeight="1" x14ac:dyDescent="0.2">
      <c r="A6" s="104" t="s">
        <v>79</v>
      </c>
      <c r="B6" s="104"/>
      <c r="C6" s="104"/>
      <c r="D6" s="104"/>
    </row>
    <row r="7" spans="1:8" ht="15" customHeight="1" x14ac:dyDescent="0.2">
      <c r="A7" s="104"/>
      <c r="B7" s="104"/>
      <c r="C7" s="104"/>
      <c r="D7" s="104"/>
    </row>
    <row r="8" spans="1:8" ht="23.25" customHeight="1" x14ac:dyDescent="0.2">
      <c r="A8" s="104"/>
      <c r="B8" s="104"/>
      <c r="C8" s="104"/>
      <c r="D8" s="104"/>
    </row>
    <row r="9" spans="1:8" ht="15" customHeight="1" x14ac:dyDescent="0.2">
      <c r="A9" s="103" t="s">
        <v>120</v>
      </c>
      <c r="B9" s="103"/>
      <c r="C9" s="103"/>
      <c r="D9" s="103"/>
    </row>
    <row r="10" spans="1:8" ht="9" customHeight="1" x14ac:dyDescent="0.2">
      <c r="A10" s="22"/>
      <c r="B10" s="22"/>
      <c r="C10" s="22"/>
      <c r="D10" s="22"/>
    </row>
    <row r="11" spans="1:8" ht="9" customHeight="1" x14ac:dyDescent="0.2">
      <c r="A11" s="99"/>
      <c r="B11" s="99"/>
      <c r="C11" s="99"/>
      <c r="D11" s="99"/>
    </row>
    <row r="12" spans="1:8" x14ac:dyDescent="0.2">
      <c r="A12" s="3" t="s">
        <v>43</v>
      </c>
      <c r="B12" s="20" t="s">
        <v>44</v>
      </c>
      <c r="C12" s="20" t="s">
        <v>45</v>
      </c>
      <c r="D12" s="20" t="s">
        <v>46</v>
      </c>
    </row>
    <row r="13" spans="1:8" ht="8.25" customHeight="1" x14ac:dyDescent="0.2"/>
    <row r="14" spans="1:8" s="5" customFormat="1" ht="12" customHeight="1" x14ac:dyDescent="0.2">
      <c r="A14" s="4" t="s">
        <v>6</v>
      </c>
      <c r="B14" s="15">
        <v>445000</v>
      </c>
      <c r="C14" s="15">
        <f>14982.5+12090</f>
        <v>27072.5</v>
      </c>
      <c r="D14" s="15">
        <f t="shared" ref="D14:D18" si="0">+B14+C14</f>
        <v>472072.5</v>
      </c>
    </row>
    <row r="15" spans="1:8" s="5" customFormat="1" ht="12" customHeight="1" x14ac:dyDescent="0.2">
      <c r="A15" s="4" t="s">
        <v>7</v>
      </c>
      <c r="B15" s="15">
        <v>455000</v>
      </c>
      <c r="C15" s="15">
        <f>12090+9132.5</f>
        <v>21222.5</v>
      </c>
      <c r="D15" s="15">
        <f t="shared" si="0"/>
        <v>476222.5</v>
      </c>
    </row>
    <row r="16" spans="1:8" s="5" customFormat="1" ht="12" customHeight="1" x14ac:dyDescent="0.2">
      <c r="A16" s="4" t="s">
        <v>8</v>
      </c>
      <c r="B16" s="15">
        <v>460000</v>
      </c>
      <c r="C16" s="15">
        <f>9132.5+6142.5</f>
        <v>15275</v>
      </c>
      <c r="D16" s="15">
        <f t="shared" si="0"/>
        <v>475275</v>
      </c>
    </row>
    <row r="17" spans="1:4" s="5" customFormat="1" ht="12" customHeight="1" x14ac:dyDescent="0.2">
      <c r="A17" s="4" t="s">
        <v>9</v>
      </c>
      <c r="B17" s="15">
        <v>470000</v>
      </c>
      <c r="C17" s="15">
        <f>6142.5+3087.5</f>
        <v>9230</v>
      </c>
      <c r="D17" s="15">
        <f t="shared" si="0"/>
        <v>479230</v>
      </c>
    </row>
    <row r="18" spans="1:4" s="5" customFormat="1" ht="12" customHeight="1" x14ac:dyDescent="0.2">
      <c r="A18" s="4" t="s">
        <v>12</v>
      </c>
      <c r="B18" s="15">
        <v>475000</v>
      </c>
      <c r="C18" s="15">
        <v>3087.5</v>
      </c>
      <c r="D18" s="15">
        <f t="shared" si="0"/>
        <v>478087.5</v>
      </c>
    </row>
    <row r="19" spans="1:4" x14ac:dyDescent="0.2">
      <c r="A19" s="6" t="s">
        <v>4</v>
      </c>
      <c r="B19" s="16">
        <f>SUM(B14:B18)</f>
        <v>2305000</v>
      </c>
      <c r="C19" s="16">
        <f>SUM(C14:C18)</f>
        <v>75887.5</v>
      </c>
      <c r="D19" s="16">
        <f>SUM(D14:D18)</f>
        <v>2380887.5</v>
      </c>
    </row>
    <row r="20" spans="1:4" x14ac:dyDescent="0.2">
      <c r="A20" s="7"/>
      <c r="B20" s="17"/>
      <c r="C20" s="17"/>
      <c r="D20" s="17"/>
    </row>
    <row r="21" spans="1:4" x14ac:dyDescent="0.2">
      <c r="A21" s="7"/>
      <c r="B21" s="17"/>
      <c r="C21" s="17"/>
      <c r="D21" s="17"/>
    </row>
    <row r="22" spans="1:4" x14ac:dyDescent="0.2">
      <c r="A22" s="7"/>
      <c r="B22" s="17"/>
      <c r="C22" s="17"/>
      <c r="D22" s="17"/>
    </row>
    <row r="23" spans="1:4" x14ac:dyDescent="0.2">
      <c r="A23" s="7"/>
      <c r="B23" s="17"/>
      <c r="C23" s="17"/>
      <c r="D23" s="17"/>
    </row>
    <row r="24" spans="1:4" x14ac:dyDescent="0.2">
      <c r="A24" s="7"/>
      <c r="B24" s="17"/>
      <c r="C24" s="17"/>
      <c r="D24" s="17"/>
    </row>
    <row r="25" spans="1:4" x14ac:dyDescent="0.2">
      <c r="A25" s="7"/>
      <c r="B25" s="17"/>
      <c r="C25" s="17"/>
      <c r="D25" s="17"/>
    </row>
    <row r="26" spans="1:4" x14ac:dyDescent="0.2">
      <c r="A26" s="7"/>
      <c r="B26" s="17"/>
      <c r="C26" s="17"/>
      <c r="D26" s="17"/>
    </row>
    <row r="27" spans="1:4" x14ac:dyDescent="0.2">
      <c r="A27" s="7"/>
      <c r="B27" s="17"/>
      <c r="C27" s="17"/>
      <c r="D27" s="17"/>
    </row>
    <row r="28" spans="1:4" x14ac:dyDescent="0.2">
      <c r="B28" s="17"/>
      <c r="C28" s="17"/>
      <c r="D28" s="17"/>
    </row>
    <row r="29" spans="1:4" x14ac:dyDescent="0.2">
      <c r="B29" s="17"/>
      <c r="C29" s="17"/>
      <c r="D29" s="17"/>
    </row>
    <row r="30" spans="1:4" x14ac:dyDescent="0.2">
      <c r="B30" s="17"/>
      <c r="C30" s="17"/>
      <c r="D30" s="17"/>
    </row>
    <row r="31" spans="1:4" x14ac:dyDescent="0.2">
      <c r="B31" s="17"/>
      <c r="C31" s="17"/>
      <c r="D31" s="17"/>
    </row>
    <row r="32" spans="1:4" x14ac:dyDescent="0.2">
      <c r="B32" s="17"/>
      <c r="C32" s="17"/>
      <c r="D32" s="17"/>
    </row>
    <row r="33" spans="2:4" x14ac:dyDescent="0.2">
      <c r="B33" s="17"/>
      <c r="C33" s="17"/>
      <c r="D33" s="17"/>
    </row>
    <row r="34" spans="2:4" x14ac:dyDescent="0.2">
      <c r="B34" s="17"/>
      <c r="C34" s="17"/>
      <c r="D34" s="17"/>
    </row>
    <row r="35" spans="2:4" x14ac:dyDescent="0.2">
      <c r="B35" s="17"/>
      <c r="C35" s="17"/>
      <c r="D35" s="17"/>
    </row>
    <row r="36" spans="2:4" x14ac:dyDescent="0.2">
      <c r="B36" s="17"/>
      <c r="C36" s="17"/>
      <c r="D36" s="17"/>
    </row>
    <row r="37" spans="2:4" x14ac:dyDescent="0.2">
      <c r="B37" s="17"/>
      <c r="C37" s="17"/>
      <c r="D37" s="17"/>
    </row>
  </sheetData>
  <mergeCells count="8">
    <mergeCell ref="A11:D11"/>
    <mergeCell ref="A1:D1"/>
    <mergeCell ref="A2:D2"/>
    <mergeCell ref="A3:D3"/>
    <mergeCell ref="A4:D4"/>
    <mergeCell ref="A5:D5"/>
    <mergeCell ref="A6:D8"/>
    <mergeCell ref="A9:D9"/>
  </mergeCells>
  <phoneticPr fontId="11" type="noConversion"/>
  <pageMargins left="0.75" right="0.4" top="0.75" bottom="0.75" header="0.5" footer="0.5"/>
  <pageSetup scale="90" firstPageNumber="0" orientation="portrait" useFirstPageNumber="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9CD95-9C10-4279-8E70-B35C5210B6D0}">
  <dimension ref="A1:H38"/>
  <sheetViews>
    <sheetView workbookViewId="0">
      <selection activeCell="H34" sqref="H34"/>
    </sheetView>
  </sheetViews>
  <sheetFormatPr defaultRowHeight="12.75" x14ac:dyDescent="0.2"/>
  <cols>
    <col min="1" max="4" width="25" style="12" customWidth="1"/>
    <col min="5" max="254" width="9.140625" style="1"/>
    <col min="255" max="259" width="18.5703125" style="1" customWidth="1"/>
    <col min="260" max="510" width="9.140625" style="1"/>
    <col min="511" max="515" width="18.5703125" style="1" customWidth="1"/>
    <col min="516" max="766" width="9.140625" style="1"/>
    <col min="767" max="771" width="18.5703125" style="1" customWidth="1"/>
    <col min="772" max="1022" width="9.140625" style="1"/>
    <col min="1023" max="1027" width="18.5703125" style="1" customWidth="1"/>
    <col min="1028" max="1278" width="9.140625" style="1"/>
    <col min="1279" max="1283" width="18.5703125" style="1" customWidth="1"/>
    <col min="1284" max="1534" width="9.140625" style="1"/>
    <col min="1535" max="1539" width="18.5703125" style="1" customWidth="1"/>
    <col min="1540" max="1790" width="9.140625" style="1"/>
    <col min="1791" max="1795" width="18.5703125" style="1" customWidth="1"/>
    <col min="1796" max="2046" width="9.140625" style="1"/>
    <col min="2047" max="2051" width="18.5703125" style="1" customWidth="1"/>
    <col min="2052" max="2302" width="9.140625" style="1"/>
    <col min="2303" max="2307" width="18.5703125" style="1" customWidth="1"/>
    <col min="2308" max="2558" width="9.140625" style="1"/>
    <col min="2559" max="2563" width="18.5703125" style="1" customWidth="1"/>
    <col min="2564" max="2814" width="9.140625" style="1"/>
    <col min="2815" max="2819" width="18.5703125" style="1" customWidth="1"/>
    <col min="2820" max="3070" width="9.140625" style="1"/>
    <col min="3071" max="3075" width="18.5703125" style="1" customWidth="1"/>
    <col min="3076" max="3326" width="9.140625" style="1"/>
    <col min="3327" max="3331" width="18.5703125" style="1" customWidth="1"/>
    <col min="3332" max="3582" width="9.140625" style="1"/>
    <col min="3583" max="3587" width="18.5703125" style="1" customWidth="1"/>
    <col min="3588" max="3838" width="9.140625" style="1"/>
    <col min="3839" max="3843" width="18.5703125" style="1" customWidth="1"/>
    <col min="3844" max="4094" width="9.140625" style="1"/>
    <col min="4095" max="4099" width="18.5703125" style="1" customWidth="1"/>
    <col min="4100" max="4350" width="9.140625" style="1"/>
    <col min="4351" max="4355" width="18.5703125" style="1" customWidth="1"/>
    <col min="4356" max="4606" width="9.140625" style="1"/>
    <col min="4607" max="4611" width="18.5703125" style="1" customWidth="1"/>
    <col min="4612" max="4862" width="9.140625" style="1"/>
    <col min="4863" max="4867" width="18.5703125" style="1" customWidth="1"/>
    <col min="4868" max="5118" width="9.140625" style="1"/>
    <col min="5119" max="5123" width="18.5703125" style="1" customWidth="1"/>
    <col min="5124" max="5374" width="9.140625" style="1"/>
    <col min="5375" max="5379" width="18.5703125" style="1" customWidth="1"/>
    <col min="5380" max="5630" width="9.140625" style="1"/>
    <col min="5631" max="5635" width="18.5703125" style="1" customWidth="1"/>
    <col min="5636" max="5886" width="9.140625" style="1"/>
    <col min="5887" max="5891" width="18.5703125" style="1" customWidth="1"/>
    <col min="5892" max="6142" width="9.140625" style="1"/>
    <col min="6143" max="6147" width="18.5703125" style="1" customWidth="1"/>
    <col min="6148" max="6398" width="9.140625" style="1"/>
    <col min="6399" max="6403" width="18.5703125" style="1" customWidth="1"/>
    <col min="6404" max="6654" width="9.140625" style="1"/>
    <col min="6655" max="6659" width="18.5703125" style="1" customWidth="1"/>
    <col min="6660" max="6910" width="9.140625" style="1"/>
    <col min="6911" max="6915" width="18.5703125" style="1" customWidth="1"/>
    <col min="6916" max="7166" width="9.140625" style="1"/>
    <col min="7167" max="7171" width="18.5703125" style="1" customWidth="1"/>
    <col min="7172" max="7422" width="9.140625" style="1"/>
    <col min="7423" max="7427" width="18.5703125" style="1" customWidth="1"/>
    <col min="7428" max="7678" width="9.140625" style="1"/>
    <col min="7679" max="7683" width="18.5703125" style="1" customWidth="1"/>
    <col min="7684" max="7934" width="9.140625" style="1"/>
    <col min="7935" max="7939" width="18.5703125" style="1" customWidth="1"/>
    <col min="7940" max="8190" width="9.140625" style="1"/>
    <col min="8191" max="8195" width="18.5703125" style="1" customWidth="1"/>
    <col min="8196" max="8446" width="9.140625" style="1"/>
    <col min="8447" max="8451" width="18.5703125" style="1" customWidth="1"/>
    <col min="8452" max="8702" width="9.140625" style="1"/>
    <col min="8703" max="8707" width="18.5703125" style="1" customWidth="1"/>
    <col min="8708" max="8958" width="9.140625" style="1"/>
    <col min="8959" max="8963" width="18.5703125" style="1" customWidth="1"/>
    <col min="8964" max="9214" width="9.140625" style="1"/>
    <col min="9215" max="9219" width="18.5703125" style="1" customWidth="1"/>
    <col min="9220" max="9470" width="9.140625" style="1"/>
    <col min="9471" max="9475" width="18.5703125" style="1" customWidth="1"/>
    <col min="9476" max="9726" width="9.140625" style="1"/>
    <col min="9727" max="9731" width="18.5703125" style="1" customWidth="1"/>
    <col min="9732" max="9982" width="9.140625" style="1"/>
    <col min="9983" max="9987" width="18.5703125" style="1" customWidth="1"/>
    <col min="9988" max="10238" width="9.140625" style="1"/>
    <col min="10239" max="10243" width="18.5703125" style="1" customWidth="1"/>
    <col min="10244" max="10494" width="9.140625" style="1"/>
    <col min="10495" max="10499" width="18.5703125" style="1" customWidth="1"/>
    <col min="10500" max="10750" width="9.140625" style="1"/>
    <col min="10751" max="10755" width="18.5703125" style="1" customWidth="1"/>
    <col min="10756" max="11006" width="9.140625" style="1"/>
    <col min="11007" max="11011" width="18.5703125" style="1" customWidth="1"/>
    <col min="11012" max="11262" width="9.140625" style="1"/>
    <col min="11263" max="11267" width="18.5703125" style="1" customWidth="1"/>
    <col min="11268" max="11518" width="9.140625" style="1"/>
    <col min="11519" max="11523" width="18.5703125" style="1" customWidth="1"/>
    <col min="11524" max="11774" width="9.140625" style="1"/>
    <col min="11775" max="11779" width="18.5703125" style="1" customWidth="1"/>
    <col min="11780" max="12030" width="9.140625" style="1"/>
    <col min="12031" max="12035" width="18.5703125" style="1" customWidth="1"/>
    <col min="12036" max="12286" width="9.140625" style="1"/>
    <col min="12287" max="12291" width="18.5703125" style="1" customWidth="1"/>
    <col min="12292" max="12542" width="9.140625" style="1"/>
    <col min="12543" max="12547" width="18.5703125" style="1" customWidth="1"/>
    <col min="12548" max="12798" width="9.140625" style="1"/>
    <col min="12799" max="12803" width="18.5703125" style="1" customWidth="1"/>
    <col min="12804" max="13054" width="9.140625" style="1"/>
    <col min="13055" max="13059" width="18.5703125" style="1" customWidth="1"/>
    <col min="13060" max="13310" width="9.140625" style="1"/>
    <col min="13311" max="13315" width="18.5703125" style="1" customWidth="1"/>
    <col min="13316" max="13566" width="9.140625" style="1"/>
    <col min="13567" max="13571" width="18.5703125" style="1" customWidth="1"/>
    <col min="13572" max="13822" width="9.140625" style="1"/>
    <col min="13823" max="13827" width="18.5703125" style="1" customWidth="1"/>
    <col min="13828" max="14078" width="9.140625" style="1"/>
    <col min="14079" max="14083" width="18.5703125" style="1" customWidth="1"/>
    <col min="14084" max="14334" width="9.140625" style="1"/>
    <col min="14335" max="14339" width="18.5703125" style="1" customWidth="1"/>
    <col min="14340" max="14590" width="9.140625" style="1"/>
    <col min="14591" max="14595" width="18.5703125" style="1" customWidth="1"/>
    <col min="14596" max="14846" width="9.140625" style="1"/>
    <col min="14847" max="14851" width="18.5703125" style="1" customWidth="1"/>
    <col min="14852" max="15102" width="9.140625" style="1"/>
    <col min="15103" max="15107" width="18.5703125" style="1" customWidth="1"/>
    <col min="15108" max="15358" width="9.140625" style="1"/>
    <col min="15359" max="15363" width="18.5703125" style="1" customWidth="1"/>
    <col min="15364" max="15614" width="9.140625" style="1"/>
    <col min="15615" max="15619" width="18.5703125" style="1" customWidth="1"/>
    <col min="15620" max="15870" width="9.140625" style="1"/>
    <col min="15871" max="15875" width="18.5703125" style="1" customWidth="1"/>
    <col min="15876" max="16126" width="9.140625" style="1"/>
    <col min="16127" max="16131" width="18.5703125" style="1" customWidth="1"/>
    <col min="16132" max="16384" width="9.140625" style="1"/>
  </cols>
  <sheetData>
    <row r="1" spans="1:8" ht="15" customHeight="1" x14ac:dyDescent="0.25">
      <c r="A1" s="100" t="s">
        <v>0</v>
      </c>
      <c r="B1" s="100"/>
      <c r="C1" s="100"/>
      <c r="D1" s="100"/>
    </row>
    <row r="2" spans="1:8" ht="15" customHeight="1" x14ac:dyDescent="0.25">
      <c r="A2" s="100" t="s">
        <v>154</v>
      </c>
      <c r="B2" s="100"/>
      <c r="C2" s="100"/>
      <c r="D2" s="100"/>
      <c r="E2" s="45"/>
      <c r="F2" s="45"/>
      <c r="G2" s="45"/>
      <c r="H2" s="45"/>
    </row>
    <row r="3" spans="1:8" ht="15" customHeight="1" x14ac:dyDescent="0.25">
      <c r="A3" s="101" t="s">
        <v>1</v>
      </c>
      <c r="B3" s="101"/>
      <c r="C3" s="101"/>
      <c r="D3" s="101"/>
    </row>
    <row r="4" spans="1:8" ht="15" customHeight="1" x14ac:dyDescent="0.25">
      <c r="A4" s="101" t="s">
        <v>89</v>
      </c>
      <c r="B4" s="101"/>
      <c r="C4" s="101"/>
      <c r="D4" s="101"/>
    </row>
    <row r="5" spans="1:8" ht="15" customHeight="1" x14ac:dyDescent="0.25">
      <c r="A5" s="101" t="s">
        <v>80</v>
      </c>
      <c r="B5" s="101"/>
      <c r="C5" s="101"/>
      <c r="D5" s="101"/>
    </row>
    <row r="6" spans="1:8" ht="8.25" customHeight="1" x14ac:dyDescent="0.2">
      <c r="A6" s="104" t="s">
        <v>81</v>
      </c>
      <c r="B6" s="104"/>
      <c r="C6" s="104"/>
      <c r="D6" s="104"/>
    </row>
    <row r="7" spans="1:8" ht="15" customHeight="1" x14ac:dyDescent="0.2">
      <c r="A7" s="104"/>
      <c r="B7" s="104"/>
      <c r="C7" s="104"/>
      <c r="D7" s="104"/>
    </row>
    <row r="8" spans="1:8" ht="23.25" customHeight="1" x14ac:dyDescent="0.2">
      <c r="A8" s="104"/>
      <c r="B8" s="104"/>
      <c r="C8" s="104"/>
      <c r="D8" s="104"/>
    </row>
    <row r="9" spans="1:8" ht="15" customHeight="1" x14ac:dyDescent="0.2">
      <c r="A9" s="103" t="s">
        <v>121</v>
      </c>
      <c r="B9" s="103"/>
      <c r="C9" s="103"/>
      <c r="D9" s="103"/>
    </row>
    <row r="10" spans="1:8" ht="9" customHeight="1" x14ac:dyDescent="0.2">
      <c r="A10" s="22"/>
      <c r="B10" s="22"/>
      <c r="C10" s="22"/>
      <c r="D10" s="22"/>
    </row>
    <row r="11" spans="1:8" ht="9" customHeight="1" x14ac:dyDescent="0.2">
      <c r="A11" s="99"/>
      <c r="B11" s="99"/>
      <c r="C11" s="99"/>
      <c r="D11" s="99"/>
    </row>
    <row r="12" spans="1:8" x14ac:dyDescent="0.2">
      <c r="A12" s="3" t="s">
        <v>43</v>
      </c>
      <c r="B12" s="20" t="s">
        <v>44</v>
      </c>
      <c r="C12" s="20" t="s">
        <v>45</v>
      </c>
      <c r="D12" s="20" t="s">
        <v>46</v>
      </c>
    </row>
    <row r="13" spans="1:8" ht="8.25" customHeight="1" x14ac:dyDescent="0.2"/>
    <row r="14" spans="1:8" s="5" customFormat="1" ht="12" customHeight="1" x14ac:dyDescent="0.2">
      <c r="A14" s="4" t="s">
        <v>6</v>
      </c>
      <c r="B14" s="15">
        <v>245000</v>
      </c>
      <c r="C14" s="15">
        <f>11096+9307.5</f>
        <v>20403.5</v>
      </c>
      <c r="D14" s="15">
        <f t="shared" ref="D14:D19" si="0">+B14+C14</f>
        <v>265403.5</v>
      </c>
    </row>
    <row r="15" spans="1:8" s="5" customFormat="1" ht="12" customHeight="1" x14ac:dyDescent="0.2">
      <c r="A15" s="4" t="s">
        <v>7</v>
      </c>
      <c r="B15" s="15">
        <v>250000</v>
      </c>
      <c r="C15" s="15">
        <f>9307.5+7482.5</f>
        <v>16790</v>
      </c>
      <c r="D15" s="15">
        <f t="shared" si="0"/>
        <v>266790</v>
      </c>
    </row>
    <row r="16" spans="1:8" s="5" customFormat="1" ht="12" customHeight="1" x14ac:dyDescent="0.2">
      <c r="A16" s="4" t="s">
        <v>8</v>
      </c>
      <c r="B16" s="15">
        <v>250000</v>
      </c>
      <c r="C16" s="15">
        <f>7482.5+5657.5</f>
        <v>13140</v>
      </c>
      <c r="D16" s="15">
        <f t="shared" si="0"/>
        <v>263140</v>
      </c>
    </row>
    <row r="17" spans="1:4" s="5" customFormat="1" ht="12" customHeight="1" x14ac:dyDescent="0.2">
      <c r="A17" s="4" t="s">
        <v>9</v>
      </c>
      <c r="B17" s="15">
        <v>255000</v>
      </c>
      <c r="C17" s="15">
        <f>5657.5+3796</f>
        <v>9453.5</v>
      </c>
      <c r="D17" s="15">
        <f t="shared" si="0"/>
        <v>264453.5</v>
      </c>
    </row>
    <row r="18" spans="1:4" s="5" customFormat="1" ht="12" customHeight="1" x14ac:dyDescent="0.2">
      <c r="A18" s="4" t="s">
        <v>12</v>
      </c>
      <c r="B18" s="15">
        <v>260000</v>
      </c>
      <c r="C18" s="15">
        <f>3796+1898</f>
        <v>5694</v>
      </c>
      <c r="D18" s="15">
        <f t="shared" si="0"/>
        <v>265694</v>
      </c>
    </row>
    <row r="19" spans="1:4" s="5" customFormat="1" ht="12" customHeight="1" x14ac:dyDescent="0.2">
      <c r="A19" s="4" t="s">
        <v>18</v>
      </c>
      <c r="B19" s="15">
        <v>260000</v>
      </c>
      <c r="C19" s="15">
        <v>1898</v>
      </c>
      <c r="D19" s="15">
        <f t="shared" si="0"/>
        <v>261898</v>
      </c>
    </row>
    <row r="20" spans="1:4" x14ac:dyDescent="0.2">
      <c r="A20" s="6" t="s">
        <v>4</v>
      </c>
      <c r="B20" s="16">
        <f>SUM(B14:B19)</f>
        <v>1520000</v>
      </c>
      <c r="C20" s="16">
        <f>SUM(C14:C19)</f>
        <v>67379</v>
      </c>
      <c r="D20" s="16">
        <f>SUM(D14:D19)</f>
        <v>1587379</v>
      </c>
    </row>
    <row r="21" spans="1:4" x14ac:dyDescent="0.2">
      <c r="A21" s="7"/>
      <c r="B21" s="17"/>
      <c r="C21" s="17"/>
      <c r="D21" s="17"/>
    </row>
    <row r="22" spans="1:4" x14ac:dyDescent="0.2">
      <c r="A22" s="7"/>
      <c r="B22" s="17"/>
      <c r="C22" s="17"/>
      <c r="D22" s="17"/>
    </row>
    <row r="23" spans="1:4" x14ac:dyDescent="0.2">
      <c r="A23" s="7"/>
      <c r="B23" s="17"/>
      <c r="C23" s="17"/>
      <c r="D23" s="17"/>
    </row>
    <row r="24" spans="1:4" x14ac:dyDescent="0.2">
      <c r="A24" s="7"/>
      <c r="B24" s="17"/>
      <c r="C24" s="17"/>
      <c r="D24" s="17"/>
    </row>
    <row r="25" spans="1:4" x14ac:dyDescent="0.2">
      <c r="A25" s="7"/>
      <c r="B25" s="17"/>
      <c r="C25" s="17"/>
      <c r="D25" s="17"/>
    </row>
    <row r="26" spans="1:4" x14ac:dyDescent="0.2">
      <c r="A26" s="7"/>
      <c r="B26" s="17"/>
      <c r="C26" s="17"/>
      <c r="D26" s="17"/>
    </row>
    <row r="27" spans="1:4" x14ac:dyDescent="0.2">
      <c r="A27" s="7"/>
      <c r="B27" s="17"/>
      <c r="C27" s="17"/>
      <c r="D27" s="17"/>
    </row>
    <row r="28" spans="1:4" x14ac:dyDescent="0.2">
      <c r="A28" s="7"/>
      <c r="B28" s="17"/>
      <c r="C28" s="17"/>
      <c r="D28" s="17"/>
    </row>
    <row r="29" spans="1:4" x14ac:dyDescent="0.2">
      <c r="B29" s="17"/>
      <c r="C29" s="17"/>
      <c r="D29" s="17"/>
    </row>
    <row r="30" spans="1:4" x14ac:dyDescent="0.2">
      <c r="B30" s="17"/>
      <c r="C30" s="17"/>
      <c r="D30" s="17"/>
    </row>
    <row r="31" spans="1:4" x14ac:dyDescent="0.2">
      <c r="B31" s="17"/>
      <c r="C31" s="17"/>
      <c r="D31" s="17"/>
    </row>
    <row r="32" spans="1:4" x14ac:dyDescent="0.2">
      <c r="B32" s="17"/>
      <c r="C32" s="17"/>
      <c r="D32" s="17"/>
    </row>
    <row r="33" spans="2:4" x14ac:dyDescent="0.2">
      <c r="B33" s="17"/>
      <c r="C33" s="17"/>
      <c r="D33" s="17"/>
    </row>
    <row r="34" spans="2:4" x14ac:dyDescent="0.2">
      <c r="B34" s="17"/>
      <c r="C34" s="17"/>
      <c r="D34" s="17"/>
    </row>
    <row r="35" spans="2:4" x14ac:dyDescent="0.2">
      <c r="B35" s="17"/>
      <c r="C35" s="17"/>
      <c r="D35" s="17"/>
    </row>
    <row r="36" spans="2:4" x14ac:dyDescent="0.2">
      <c r="B36" s="17"/>
      <c r="C36" s="17"/>
      <c r="D36" s="17"/>
    </row>
    <row r="37" spans="2:4" x14ac:dyDescent="0.2">
      <c r="B37" s="17"/>
      <c r="C37" s="17"/>
      <c r="D37" s="17"/>
    </row>
    <row r="38" spans="2:4" x14ac:dyDescent="0.2">
      <c r="B38" s="17"/>
      <c r="C38" s="17"/>
      <c r="D38" s="17"/>
    </row>
  </sheetData>
  <mergeCells count="8">
    <mergeCell ref="A11:D11"/>
    <mergeCell ref="A1:D1"/>
    <mergeCell ref="A2:D2"/>
    <mergeCell ref="A3:D3"/>
    <mergeCell ref="A4:D4"/>
    <mergeCell ref="A5:D5"/>
    <mergeCell ref="A6:D8"/>
    <mergeCell ref="A9:D9"/>
  </mergeCells>
  <phoneticPr fontId="11" type="noConversion"/>
  <pageMargins left="0.75" right="0.4" top="0.75" bottom="0.75" header="0.5" footer="0.5"/>
  <pageSetup scale="90" firstPageNumber="0" orientation="portrait" useFirstPageNumber="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7E0F2-B809-41BF-99FD-683D4A7B58B3}">
  <dimension ref="A1:J48"/>
  <sheetViews>
    <sheetView workbookViewId="0">
      <selection activeCell="O29" sqref="O29"/>
    </sheetView>
  </sheetViews>
  <sheetFormatPr defaultRowHeight="12.75" x14ac:dyDescent="0.2"/>
  <cols>
    <col min="1" max="1" width="25" style="12" customWidth="1"/>
    <col min="2" max="3" width="18.85546875" style="12" hidden="1" customWidth="1"/>
    <col min="4" max="4" width="25" style="12" customWidth="1"/>
    <col min="5" max="5" width="20" style="12" hidden="1" customWidth="1"/>
    <col min="6" max="6" width="15" style="12" hidden="1" customWidth="1"/>
    <col min="7" max="8" width="25" style="12" customWidth="1"/>
    <col min="9" max="9" width="9.140625" style="1"/>
    <col min="10" max="10" width="11" style="1" bestFit="1" customWidth="1"/>
    <col min="11" max="258" width="9.140625" style="1"/>
    <col min="259" max="263" width="18.5703125" style="1" customWidth="1"/>
    <col min="264" max="514" width="9.140625" style="1"/>
    <col min="515" max="519" width="18.5703125" style="1" customWidth="1"/>
    <col min="520" max="770" width="9.140625" style="1"/>
    <col min="771" max="775" width="18.5703125" style="1" customWidth="1"/>
    <col min="776" max="1026" width="9.140625" style="1"/>
    <col min="1027" max="1031" width="18.5703125" style="1" customWidth="1"/>
    <col min="1032" max="1282" width="9.140625" style="1"/>
    <col min="1283" max="1287" width="18.5703125" style="1" customWidth="1"/>
    <col min="1288" max="1538" width="9.140625" style="1"/>
    <col min="1539" max="1543" width="18.5703125" style="1" customWidth="1"/>
    <col min="1544" max="1794" width="9.140625" style="1"/>
    <col min="1795" max="1799" width="18.5703125" style="1" customWidth="1"/>
    <col min="1800" max="2050" width="9.140625" style="1"/>
    <col min="2051" max="2055" width="18.5703125" style="1" customWidth="1"/>
    <col min="2056" max="2306" width="9.140625" style="1"/>
    <col min="2307" max="2311" width="18.5703125" style="1" customWidth="1"/>
    <col min="2312" max="2562" width="9.140625" style="1"/>
    <col min="2563" max="2567" width="18.5703125" style="1" customWidth="1"/>
    <col min="2568" max="2818" width="9.140625" style="1"/>
    <col min="2819" max="2823" width="18.5703125" style="1" customWidth="1"/>
    <col min="2824" max="3074" width="9.140625" style="1"/>
    <col min="3075" max="3079" width="18.5703125" style="1" customWidth="1"/>
    <col min="3080" max="3330" width="9.140625" style="1"/>
    <col min="3331" max="3335" width="18.5703125" style="1" customWidth="1"/>
    <col min="3336" max="3586" width="9.140625" style="1"/>
    <col min="3587" max="3591" width="18.5703125" style="1" customWidth="1"/>
    <col min="3592" max="3842" width="9.140625" style="1"/>
    <col min="3843" max="3847" width="18.5703125" style="1" customWidth="1"/>
    <col min="3848" max="4098" width="9.140625" style="1"/>
    <col min="4099" max="4103" width="18.5703125" style="1" customWidth="1"/>
    <col min="4104" max="4354" width="9.140625" style="1"/>
    <col min="4355" max="4359" width="18.5703125" style="1" customWidth="1"/>
    <col min="4360" max="4610" width="9.140625" style="1"/>
    <col min="4611" max="4615" width="18.5703125" style="1" customWidth="1"/>
    <col min="4616" max="4866" width="9.140625" style="1"/>
    <col min="4867" max="4871" width="18.5703125" style="1" customWidth="1"/>
    <col min="4872" max="5122" width="9.140625" style="1"/>
    <col min="5123" max="5127" width="18.5703125" style="1" customWidth="1"/>
    <col min="5128" max="5378" width="9.140625" style="1"/>
    <col min="5379" max="5383" width="18.5703125" style="1" customWidth="1"/>
    <col min="5384" max="5634" width="9.140625" style="1"/>
    <col min="5635" max="5639" width="18.5703125" style="1" customWidth="1"/>
    <col min="5640" max="5890" width="9.140625" style="1"/>
    <col min="5891" max="5895" width="18.5703125" style="1" customWidth="1"/>
    <col min="5896" max="6146" width="9.140625" style="1"/>
    <col min="6147" max="6151" width="18.5703125" style="1" customWidth="1"/>
    <col min="6152" max="6402" width="9.140625" style="1"/>
    <col min="6403" max="6407" width="18.5703125" style="1" customWidth="1"/>
    <col min="6408" max="6658" width="9.140625" style="1"/>
    <col min="6659" max="6663" width="18.5703125" style="1" customWidth="1"/>
    <col min="6664" max="6914" width="9.140625" style="1"/>
    <col min="6915" max="6919" width="18.5703125" style="1" customWidth="1"/>
    <col min="6920" max="7170" width="9.140625" style="1"/>
    <col min="7171" max="7175" width="18.5703125" style="1" customWidth="1"/>
    <col min="7176" max="7426" width="9.140625" style="1"/>
    <col min="7427" max="7431" width="18.5703125" style="1" customWidth="1"/>
    <col min="7432" max="7682" width="9.140625" style="1"/>
    <col min="7683" max="7687" width="18.5703125" style="1" customWidth="1"/>
    <col min="7688" max="7938" width="9.140625" style="1"/>
    <col min="7939" max="7943" width="18.5703125" style="1" customWidth="1"/>
    <col min="7944" max="8194" width="9.140625" style="1"/>
    <col min="8195" max="8199" width="18.5703125" style="1" customWidth="1"/>
    <col min="8200" max="8450" width="9.140625" style="1"/>
    <col min="8451" max="8455" width="18.5703125" style="1" customWidth="1"/>
    <col min="8456" max="8706" width="9.140625" style="1"/>
    <col min="8707" max="8711" width="18.5703125" style="1" customWidth="1"/>
    <col min="8712" max="8962" width="9.140625" style="1"/>
    <col min="8963" max="8967" width="18.5703125" style="1" customWidth="1"/>
    <col min="8968" max="9218" width="9.140625" style="1"/>
    <col min="9219" max="9223" width="18.5703125" style="1" customWidth="1"/>
    <col min="9224" max="9474" width="9.140625" style="1"/>
    <col min="9475" max="9479" width="18.5703125" style="1" customWidth="1"/>
    <col min="9480" max="9730" width="9.140625" style="1"/>
    <col min="9731" max="9735" width="18.5703125" style="1" customWidth="1"/>
    <col min="9736" max="9986" width="9.140625" style="1"/>
    <col min="9987" max="9991" width="18.5703125" style="1" customWidth="1"/>
    <col min="9992" max="10242" width="9.140625" style="1"/>
    <col min="10243" max="10247" width="18.5703125" style="1" customWidth="1"/>
    <col min="10248" max="10498" width="9.140625" style="1"/>
    <col min="10499" max="10503" width="18.5703125" style="1" customWidth="1"/>
    <col min="10504" max="10754" width="9.140625" style="1"/>
    <col min="10755" max="10759" width="18.5703125" style="1" customWidth="1"/>
    <col min="10760" max="11010" width="9.140625" style="1"/>
    <col min="11011" max="11015" width="18.5703125" style="1" customWidth="1"/>
    <col min="11016" max="11266" width="9.140625" style="1"/>
    <col min="11267" max="11271" width="18.5703125" style="1" customWidth="1"/>
    <col min="11272" max="11522" width="9.140625" style="1"/>
    <col min="11523" max="11527" width="18.5703125" style="1" customWidth="1"/>
    <col min="11528" max="11778" width="9.140625" style="1"/>
    <col min="11779" max="11783" width="18.5703125" style="1" customWidth="1"/>
    <col min="11784" max="12034" width="9.140625" style="1"/>
    <col min="12035" max="12039" width="18.5703125" style="1" customWidth="1"/>
    <col min="12040" max="12290" width="9.140625" style="1"/>
    <col min="12291" max="12295" width="18.5703125" style="1" customWidth="1"/>
    <col min="12296" max="12546" width="9.140625" style="1"/>
    <col min="12547" max="12551" width="18.5703125" style="1" customWidth="1"/>
    <col min="12552" max="12802" width="9.140625" style="1"/>
    <col min="12803" max="12807" width="18.5703125" style="1" customWidth="1"/>
    <col min="12808" max="13058" width="9.140625" style="1"/>
    <col min="13059" max="13063" width="18.5703125" style="1" customWidth="1"/>
    <col min="13064" max="13314" width="9.140625" style="1"/>
    <col min="13315" max="13319" width="18.5703125" style="1" customWidth="1"/>
    <col min="13320" max="13570" width="9.140625" style="1"/>
    <col min="13571" max="13575" width="18.5703125" style="1" customWidth="1"/>
    <col min="13576" max="13826" width="9.140625" style="1"/>
    <col min="13827" max="13831" width="18.5703125" style="1" customWidth="1"/>
    <col min="13832" max="14082" width="9.140625" style="1"/>
    <col min="14083" max="14087" width="18.5703125" style="1" customWidth="1"/>
    <col min="14088" max="14338" width="9.140625" style="1"/>
    <col min="14339" max="14343" width="18.5703125" style="1" customWidth="1"/>
    <col min="14344" max="14594" width="9.140625" style="1"/>
    <col min="14595" max="14599" width="18.5703125" style="1" customWidth="1"/>
    <col min="14600" max="14850" width="9.140625" style="1"/>
    <col min="14851" max="14855" width="18.5703125" style="1" customWidth="1"/>
    <col min="14856" max="15106" width="9.140625" style="1"/>
    <col min="15107" max="15111" width="18.5703125" style="1" customWidth="1"/>
    <col min="15112" max="15362" width="9.140625" style="1"/>
    <col min="15363" max="15367" width="18.5703125" style="1" customWidth="1"/>
    <col min="15368" max="15618" width="9.140625" style="1"/>
    <col min="15619" max="15623" width="18.5703125" style="1" customWidth="1"/>
    <col min="15624" max="15874" width="9.140625" style="1"/>
    <col min="15875" max="15879" width="18.5703125" style="1" customWidth="1"/>
    <col min="15880" max="16130" width="9.140625" style="1"/>
    <col min="16131" max="16135" width="18.5703125" style="1" customWidth="1"/>
    <col min="16136" max="16384" width="9.140625" style="1"/>
  </cols>
  <sheetData>
    <row r="1" spans="1:10" ht="15" customHeight="1" x14ac:dyDescent="0.25">
      <c r="A1" s="100" t="s">
        <v>0</v>
      </c>
      <c r="B1" s="100"/>
      <c r="C1" s="100"/>
      <c r="D1" s="100"/>
      <c r="E1" s="100"/>
      <c r="F1" s="100"/>
      <c r="G1" s="100"/>
      <c r="H1" s="100"/>
    </row>
    <row r="2" spans="1:10" ht="15" customHeight="1" x14ac:dyDescent="0.25">
      <c r="A2" s="100" t="s">
        <v>154</v>
      </c>
      <c r="B2" s="100"/>
      <c r="C2" s="100"/>
      <c r="D2" s="100"/>
      <c r="E2" s="100"/>
      <c r="F2" s="100"/>
      <c r="G2" s="100"/>
      <c r="H2" s="100"/>
    </row>
    <row r="3" spans="1:10" ht="15" customHeight="1" x14ac:dyDescent="0.25">
      <c r="A3" s="101" t="s">
        <v>1</v>
      </c>
      <c r="B3" s="101"/>
      <c r="C3" s="101"/>
      <c r="D3" s="101"/>
      <c r="E3" s="101"/>
      <c r="F3" s="101"/>
      <c r="G3" s="101"/>
      <c r="H3" s="101"/>
    </row>
    <row r="4" spans="1:10" ht="15" customHeight="1" x14ac:dyDescent="0.25">
      <c r="A4" s="101" t="s">
        <v>94</v>
      </c>
      <c r="B4" s="101"/>
      <c r="C4" s="101"/>
      <c r="D4" s="101"/>
      <c r="E4" s="101"/>
      <c r="F4" s="101"/>
      <c r="G4" s="101"/>
      <c r="H4" s="101"/>
    </row>
    <row r="5" spans="1:10" ht="15" customHeight="1" x14ac:dyDescent="0.25">
      <c r="A5" s="101" t="s">
        <v>98</v>
      </c>
      <c r="B5" s="101"/>
      <c r="C5" s="101"/>
      <c r="D5" s="101"/>
      <c r="E5" s="101"/>
      <c r="F5" s="101"/>
      <c r="G5" s="101"/>
      <c r="H5" s="101"/>
    </row>
    <row r="6" spans="1:10" ht="8.25" customHeight="1" x14ac:dyDescent="0.2">
      <c r="A6" s="104" t="s">
        <v>83</v>
      </c>
      <c r="B6" s="104"/>
      <c r="C6" s="104"/>
      <c r="D6" s="104"/>
      <c r="E6" s="104"/>
      <c r="F6" s="104"/>
      <c r="G6" s="104"/>
      <c r="H6" s="104"/>
    </row>
    <row r="7" spans="1:10" ht="15" customHeight="1" x14ac:dyDescent="0.2">
      <c r="A7" s="104"/>
      <c r="B7" s="104"/>
      <c r="C7" s="104"/>
      <c r="D7" s="104"/>
      <c r="E7" s="104"/>
      <c r="F7" s="104"/>
      <c r="G7" s="104"/>
      <c r="H7" s="104"/>
    </row>
    <row r="8" spans="1:10" ht="23.25" customHeight="1" x14ac:dyDescent="0.2">
      <c r="A8" s="104"/>
      <c r="B8" s="104"/>
      <c r="C8" s="104"/>
      <c r="D8" s="104"/>
      <c r="E8" s="104"/>
      <c r="F8" s="104"/>
      <c r="G8" s="104"/>
      <c r="H8" s="104"/>
    </row>
    <row r="9" spans="1:10" ht="15" customHeight="1" x14ac:dyDescent="0.2">
      <c r="A9" s="103" t="s">
        <v>125</v>
      </c>
      <c r="B9" s="103"/>
      <c r="C9" s="103"/>
      <c r="D9" s="103"/>
      <c r="E9" s="103"/>
      <c r="F9" s="103"/>
      <c r="G9" s="103"/>
      <c r="H9" s="103"/>
    </row>
    <row r="10" spans="1:10" ht="9" customHeight="1" x14ac:dyDescent="0.2">
      <c r="A10" s="22"/>
      <c r="B10" s="22"/>
      <c r="C10" s="22"/>
      <c r="D10" s="22"/>
      <c r="E10" s="22"/>
      <c r="F10" s="22"/>
      <c r="G10" s="22"/>
      <c r="H10" s="22"/>
    </row>
    <row r="11" spans="1:10" ht="9" customHeight="1" x14ac:dyDescent="0.2">
      <c r="A11" s="99"/>
      <c r="B11" s="99"/>
      <c r="C11" s="99"/>
      <c r="D11" s="99"/>
      <c r="E11" s="99"/>
      <c r="F11" s="99"/>
      <c r="G11" s="99"/>
      <c r="H11" s="99"/>
    </row>
    <row r="12" spans="1:10" x14ac:dyDescent="0.2">
      <c r="A12" s="3" t="s">
        <v>43</v>
      </c>
      <c r="B12" s="37" t="s">
        <v>128</v>
      </c>
      <c r="C12" s="37" t="s">
        <v>127</v>
      </c>
      <c r="D12" s="20" t="s">
        <v>44</v>
      </c>
      <c r="E12" s="37" t="s">
        <v>129</v>
      </c>
      <c r="F12" s="37" t="s">
        <v>130</v>
      </c>
      <c r="G12" s="20" t="s">
        <v>45</v>
      </c>
      <c r="H12" s="20" t="s">
        <v>46</v>
      </c>
    </row>
    <row r="13" spans="1:10" ht="8.25" customHeight="1" x14ac:dyDescent="0.2">
      <c r="B13" s="38"/>
      <c r="C13" s="38"/>
      <c r="E13" s="38"/>
      <c r="F13" s="38"/>
    </row>
    <row r="14" spans="1:10" s="5" customFormat="1" ht="12" customHeight="1" x14ac:dyDescent="0.2">
      <c r="A14" s="4" t="s">
        <v>6</v>
      </c>
      <c r="B14" s="39">
        <v>250000</v>
      </c>
      <c r="C14" s="39">
        <v>155000</v>
      </c>
      <c r="D14" s="15">
        <v>405000</v>
      </c>
      <c r="E14" s="39">
        <v>191050</v>
      </c>
      <c r="F14" s="39">
        <v>119600</v>
      </c>
      <c r="G14" s="15">
        <v>310650</v>
      </c>
      <c r="H14" s="15">
        <f t="shared" ref="H14:H29" si="0">+D14+G14</f>
        <v>715650</v>
      </c>
      <c r="J14" s="47"/>
    </row>
    <row r="15" spans="1:10" s="5" customFormat="1" ht="12" customHeight="1" x14ac:dyDescent="0.2">
      <c r="A15" s="4" t="s">
        <v>7</v>
      </c>
      <c r="B15" s="39">
        <v>255000</v>
      </c>
      <c r="C15" s="39">
        <v>160000</v>
      </c>
      <c r="D15" s="15">
        <v>415000</v>
      </c>
      <c r="E15" s="39">
        <v>186000</v>
      </c>
      <c r="F15" s="39">
        <v>116450</v>
      </c>
      <c r="G15" s="15">
        <v>302450</v>
      </c>
      <c r="H15" s="15">
        <f t="shared" si="0"/>
        <v>717450</v>
      </c>
      <c r="J15" s="47"/>
    </row>
    <row r="16" spans="1:10" s="5" customFormat="1" ht="12" customHeight="1" x14ac:dyDescent="0.2">
      <c r="A16" s="4" t="s">
        <v>8</v>
      </c>
      <c r="B16" s="39">
        <v>265000</v>
      </c>
      <c r="C16" s="39">
        <v>165000</v>
      </c>
      <c r="D16" s="15">
        <v>430000</v>
      </c>
      <c r="E16" s="39">
        <v>176825</v>
      </c>
      <c r="F16" s="39">
        <v>110725</v>
      </c>
      <c r="G16" s="15">
        <v>287550</v>
      </c>
      <c r="H16" s="15">
        <f t="shared" si="0"/>
        <v>717550</v>
      </c>
      <c r="J16" s="47"/>
    </row>
    <row r="17" spans="1:10" s="5" customFormat="1" ht="12" customHeight="1" x14ac:dyDescent="0.2">
      <c r="A17" s="4" t="s">
        <v>9</v>
      </c>
      <c r="B17" s="39">
        <v>275000</v>
      </c>
      <c r="C17" s="39">
        <v>175000</v>
      </c>
      <c r="D17" s="15">
        <v>450000</v>
      </c>
      <c r="E17" s="39">
        <v>163325</v>
      </c>
      <c r="F17" s="39">
        <v>102225</v>
      </c>
      <c r="G17" s="15">
        <v>265550</v>
      </c>
      <c r="H17" s="15">
        <f t="shared" si="0"/>
        <v>715550</v>
      </c>
      <c r="J17" s="47"/>
    </row>
    <row r="18" spans="1:10" s="5" customFormat="1" ht="12" customHeight="1" x14ac:dyDescent="0.2">
      <c r="A18" s="4" t="s">
        <v>12</v>
      </c>
      <c r="B18" s="39">
        <v>290000</v>
      </c>
      <c r="C18" s="39">
        <v>180000</v>
      </c>
      <c r="D18" s="15">
        <v>470000</v>
      </c>
      <c r="E18" s="39">
        <v>149200</v>
      </c>
      <c r="F18" s="39">
        <v>93350</v>
      </c>
      <c r="G18" s="15">
        <v>242550</v>
      </c>
      <c r="H18" s="15">
        <f t="shared" si="0"/>
        <v>712550</v>
      </c>
      <c r="J18" s="47"/>
    </row>
    <row r="19" spans="1:10" s="5" customFormat="1" ht="12" customHeight="1" x14ac:dyDescent="0.2">
      <c r="A19" s="4" t="s">
        <v>18</v>
      </c>
      <c r="B19" s="39">
        <v>305000</v>
      </c>
      <c r="C19" s="39">
        <v>190000</v>
      </c>
      <c r="D19" s="15">
        <v>495000</v>
      </c>
      <c r="E19" s="39">
        <v>135850</v>
      </c>
      <c r="F19" s="39">
        <v>85050</v>
      </c>
      <c r="G19" s="15">
        <v>220900</v>
      </c>
      <c r="H19" s="15">
        <f t="shared" si="0"/>
        <v>715900</v>
      </c>
      <c r="J19" s="47"/>
    </row>
    <row r="20" spans="1:10" s="5" customFormat="1" ht="12" customHeight="1" x14ac:dyDescent="0.2">
      <c r="A20" s="4" t="s">
        <v>19</v>
      </c>
      <c r="B20" s="39">
        <v>315000</v>
      </c>
      <c r="C20" s="39">
        <v>200000</v>
      </c>
      <c r="D20" s="15">
        <v>515000</v>
      </c>
      <c r="E20" s="39">
        <v>123450</v>
      </c>
      <c r="F20" s="39">
        <v>77250</v>
      </c>
      <c r="G20" s="15">
        <v>200700</v>
      </c>
      <c r="H20" s="15">
        <f t="shared" si="0"/>
        <v>715700</v>
      </c>
      <c r="J20" s="47"/>
    </row>
    <row r="21" spans="1:10" s="5" customFormat="1" ht="12" customHeight="1" x14ac:dyDescent="0.2">
      <c r="A21" s="4" t="s">
        <v>20</v>
      </c>
      <c r="B21" s="39">
        <v>330000</v>
      </c>
      <c r="C21" s="39">
        <v>205000</v>
      </c>
      <c r="D21" s="15">
        <v>535000</v>
      </c>
      <c r="E21" s="39">
        <v>110550</v>
      </c>
      <c r="F21" s="39">
        <v>69150</v>
      </c>
      <c r="G21" s="15">
        <v>179700</v>
      </c>
      <c r="H21" s="15">
        <f t="shared" si="0"/>
        <v>714700</v>
      </c>
      <c r="J21" s="47"/>
    </row>
    <row r="22" spans="1:10" s="5" customFormat="1" ht="12" customHeight="1" x14ac:dyDescent="0.2">
      <c r="A22" s="4" t="s">
        <v>21</v>
      </c>
      <c r="B22" s="39">
        <v>340000</v>
      </c>
      <c r="C22" s="39">
        <v>215000</v>
      </c>
      <c r="D22" s="15">
        <v>555000</v>
      </c>
      <c r="E22" s="39">
        <v>97150</v>
      </c>
      <c r="F22" s="39">
        <v>60750</v>
      </c>
      <c r="G22" s="15">
        <v>157900</v>
      </c>
      <c r="H22" s="15">
        <f t="shared" si="0"/>
        <v>712900</v>
      </c>
      <c r="J22" s="47"/>
    </row>
    <row r="23" spans="1:10" s="5" customFormat="1" ht="12" customHeight="1" x14ac:dyDescent="0.2">
      <c r="A23" s="4" t="s">
        <v>24</v>
      </c>
      <c r="B23" s="39">
        <v>355000</v>
      </c>
      <c r="C23" s="39">
        <v>225000</v>
      </c>
      <c r="D23" s="15">
        <v>580000</v>
      </c>
      <c r="E23" s="39">
        <v>83250</v>
      </c>
      <c r="F23" s="39">
        <v>51950</v>
      </c>
      <c r="G23" s="15">
        <v>135200</v>
      </c>
      <c r="H23" s="15">
        <f t="shared" si="0"/>
        <v>715200</v>
      </c>
      <c r="J23" s="47"/>
    </row>
    <row r="24" spans="1:10" s="5" customFormat="1" ht="12" customHeight="1" x14ac:dyDescent="0.2">
      <c r="A24" s="4" t="s">
        <v>25</v>
      </c>
      <c r="B24" s="39">
        <v>370000</v>
      </c>
      <c r="C24" s="39">
        <v>230000</v>
      </c>
      <c r="D24" s="15">
        <v>600000</v>
      </c>
      <c r="E24" s="39">
        <v>68750</v>
      </c>
      <c r="F24" s="39">
        <v>42850</v>
      </c>
      <c r="G24" s="15">
        <v>111600</v>
      </c>
      <c r="H24" s="15">
        <f t="shared" si="0"/>
        <v>711600</v>
      </c>
      <c r="J24" s="47"/>
    </row>
    <row r="25" spans="1:10" s="5" customFormat="1" ht="12" customHeight="1" x14ac:dyDescent="0.2">
      <c r="A25" s="4" t="s">
        <v>41</v>
      </c>
      <c r="B25" s="39">
        <v>385000</v>
      </c>
      <c r="C25" s="39">
        <v>240000</v>
      </c>
      <c r="D25" s="15">
        <v>625000</v>
      </c>
      <c r="E25" s="39">
        <v>55575</v>
      </c>
      <c r="F25" s="39">
        <v>34650</v>
      </c>
      <c r="G25" s="15">
        <v>90225</v>
      </c>
      <c r="H25" s="15">
        <f t="shared" si="0"/>
        <v>715225</v>
      </c>
      <c r="J25" s="47"/>
    </row>
    <row r="26" spans="1:10" s="5" customFormat="1" ht="12" customHeight="1" x14ac:dyDescent="0.2">
      <c r="A26" s="4" t="s">
        <v>49</v>
      </c>
      <c r="B26" s="39">
        <v>395000</v>
      </c>
      <c r="C26" s="39">
        <v>245000</v>
      </c>
      <c r="D26" s="15">
        <v>640000</v>
      </c>
      <c r="E26" s="39">
        <v>43875</v>
      </c>
      <c r="F26" s="39">
        <v>27375</v>
      </c>
      <c r="G26" s="15">
        <v>71250</v>
      </c>
      <c r="H26" s="15">
        <f t="shared" si="0"/>
        <v>711250</v>
      </c>
      <c r="J26" s="47"/>
    </row>
    <row r="27" spans="1:10" s="5" customFormat="1" ht="12" customHeight="1" x14ac:dyDescent="0.2">
      <c r="A27" s="4" t="s">
        <v>52</v>
      </c>
      <c r="B27" s="39">
        <v>410000</v>
      </c>
      <c r="C27" s="39">
        <v>255000</v>
      </c>
      <c r="D27" s="15">
        <v>665000</v>
      </c>
      <c r="E27" s="39">
        <v>31800</v>
      </c>
      <c r="F27" s="39">
        <v>19875</v>
      </c>
      <c r="G27" s="15">
        <v>51675</v>
      </c>
      <c r="H27" s="15">
        <f t="shared" si="0"/>
        <v>716675</v>
      </c>
      <c r="J27" s="47"/>
    </row>
    <row r="28" spans="1:10" s="5" customFormat="1" ht="12" customHeight="1" x14ac:dyDescent="0.2">
      <c r="A28" s="4" t="s">
        <v>75</v>
      </c>
      <c r="B28" s="39">
        <v>420000</v>
      </c>
      <c r="C28" s="39">
        <v>265000</v>
      </c>
      <c r="D28" s="15">
        <v>685000</v>
      </c>
      <c r="E28" s="39">
        <v>19350</v>
      </c>
      <c r="F28" s="39">
        <v>12075</v>
      </c>
      <c r="G28" s="15">
        <v>31425</v>
      </c>
      <c r="H28" s="15">
        <f t="shared" si="0"/>
        <v>716425</v>
      </c>
      <c r="J28" s="47"/>
    </row>
    <row r="29" spans="1:10" s="5" customFormat="1" ht="12" customHeight="1" x14ac:dyDescent="0.2">
      <c r="A29" s="4" t="s">
        <v>82</v>
      </c>
      <c r="B29" s="39">
        <v>435000</v>
      </c>
      <c r="C29" s="39">
        <v>270000</v>
      </c>
      <c r="D29" s="15">
        <v>705000</v>
      </c>
      <c r="E29" s="39">
        <v>6525</v>
      </c>
      <c r="F29" s="39">
        <v>4050</v>
      </c>
      <c r="G29" s="15">
        <v>10575</v>
      </c>
      <c r="H29" s="15">
        <f t="shared" si="0"/>
        <v>715575</v>
      </c>
      <c r="J29" s="47"/>
    </row>
    <row r="30" spans="1:10" x14ac:dyDescent="0.2">
      <c r="A30" s="6" t="s">
        <v>4</v>
      </c>
      <c r="B30" s="43">
        <f t="shared" ref="B30:H30" si="1">SUM(B14:B29)</f>
        <v>5395000</v>
      </c>
      <c r="C30" s="43">
        <f t="shared" si="1"/>
        <v>3375000</v>
      </c>
      <c r="D30" s="16">
        <f t="shared" si="1"/>
        <v>8770000</v>
      </c>
      <c r="E30" s="43">
        <f t="shared" si="1"/>
        <v>1642525</v>
      </c>
      <c r="F30" s="43">
        <f t="shared" si="1"/>
        <v>1027375</v>
      </c>
      <c r="G30" s="16">
        <f t="shared" si="1"/>
        <v>2669900</v>
      </c>
      <c r="H30" s="16">
        <f t="shared" si="1"/>
        <v>11439900</v>
      </c>
    </row>
    <row r="31" spans="1:10" x14ac:dyDescent="0.2">
      <c r="A31" s="7"/>
      <c r="B31" s="7"/>
      <c r="C31" s="7"/>
      <c r="D31" s="17"/>
      <c r="E31" s="17"/>
      <c r="F31" s="17"/>
      <c r="G31" s="17"/>
      <c r="H31" s="17"/>
    </row>
    <row r="32" spans="1:10" x14ac:dyDescent="0.2">
      <c r="A32" s="7"/>
      <c r="B32" s="7"/>
      <c r="C32" s="7"/>
      <c r="D32" s="17"/>
      <c r="E32" s="17"/>
      <c r="F32" s="17"/>
      <c r="G32" s="17"/>
      <c r="H32" s="17"/>
    </row>
    <row r="33" spans="1:8" x14ac:dyDescent="0.2">
      <c r="A33" s="7"/>
      <c r="B33" s="7"/>
      <c r="C33" s="7"/>
      <c r="D33" s="17"/>
      <c r="E33" s="17"/>
      <c r="F33" s="17"/>
      <c r="G33" s="17"/>
      <c r="H33" s="17"/>
    </row>
    <row r="34" spans="1:8" x14ac:dyDescent="0.2">
      <c r="A34" s="7"/>
      <c r="B34" s="7"/>
      <c r="C34" s="7"/>
      <c r="D34" s="17"/>
      <c r="E34" s="17"/>
      <c r="F34" s="17"/>
      <c r="G34" s="17"/>
      <c r="H34" s="17"/>
    </row>
    <row r="35" spans="1:8" x14ac:dyDescent="0.2">
      <c r="A35" s="7"/>
      <c r="B35" s="7"/>
      <c r="C35" s="7"/>
      <c r="D35" s="17"/>
      <c r="E35" s="17"/>
      <c r="F35" s="17"/>
      <c r="G35" s="17"/>
      <c r="H35" s="17"/>
    </row>
    <row r="36" spans="1:8" x14ac:dyDescent="0.2">
      <c r="A36" s="7"/>
      <c r="B36" s="7"/>
      <c r="C36" s="7"/>
      <c r="D36" s="17"/>
      <c r="E36" s="17"/>
      <c r="F36" s="17"/>
      <c r="G36" s="17"/>
      <c r="H36" s="17"/>
    </row>
    <row r="37" spans="1:8" x14ac:dyDescent="0.2">
      <c r="A37" s="7"/>
      <c r="B37" s="7"/>
      <c r="C37" s="7"/>
      <c r="D37" s="17"/>
      <c r="E37" s="17"/>
      <c r="F37" s="17"/>
      <c r="G37" s="17"/>
      <c r="H37" s="17"/>
    </row>
    <row r="38" spans="1:8" x14ac:dyDescent="0.2">
      <c r="A38" s="7"/>
      <c r="B38" s="7"/>
      <c r="C38" s="7"/>
      <c r="D38" s="17"/>
      <c r="E38" s="17"/>
      <c r="F38" s="17"/>
      <c r="G38" s="17"/>
      <c r="H38" s="17"/>
    </row>
    <row r="39" spans="1:8" x14ac:dyDescent="0.2">
      <c r="D39" s="17"/>
      <c r="E39" s="17"/>
      <c r="F39" s="17"/>
      <c r="G39" s="17"/>
      <c r="H39" s="17"/>
    </row>
    <row r="40" spans="1:8" x14ac:dyDescent="0.2">
      <c r="D40" s="17"/>
      <c r="E40" s="17"/>
      <c r="F40" s="17"/>
      <c r="G40" s="17"/>
      <c r="H40" s="17"/>
    </row>
    <row r="41" spans="1:8" x14ac:dyDescent="0.2">
      <c r="D41" s="17"/>
      <c r="E41" s="17"/>
      <c r="F41" s="17"/>
      <c r="G41" s="17"/>
      <c r="H41" s="17"/>
    </row>
    <row r="42" spans="1:8" x14ac:dyDescent="0.2">
      <c r="D42" s="17"/>
      <c r="E42" s="17"/>
      <c r="F42" s="17"/>
      <c r="G42" s="17"/>
      <c r="H42" s="17"/>
    </row>
    <row r="43" spans="1:8" x14ac:dyDescent="0.2">
      <c r="D43" s="17"/>
      <c r="E43" s="17"/>
      <c r="F43" s="17"/>
      <c r="G43" s="17"/>
      <c r="H43" s="17"/>
    </row>
    <row r="44" spans="1:8" x14ac:dyDescent="0.2">
      <c r="D44" s="17"/>
      <c r="E44" s="17"/>
      <c r="F44" s="17"/>
      <c r="G44" s="17"/>
      <c r="H44" s="17"/>
    </row>
    <row r="45" spans="1:8" x14ac:dyDescent="0.2">
      <c r="D45" s="17"/>
      <c r="E45" s="17"/>
      <c r="F45" s="17"/>
      <c r="G45" s="17"/>
      <c r="H45" s="17"/>
    </row>
    <row r="46" spans="1:8" x14ac:dyDescent="0.2">
      <c r="D46" s="17"/>
      <c r="E46" s="17"/>
      <c r="F46" s="17"/>
      <c r="G46" s="17"/>
      <c r="H46" s="17"/>
    </row>
    <row r="47" spans="1:8" x14ac:dyDescent="0.2">
      <c r="D47" s="17"/>
      <c r="E47" s="17"/>
      <c r="F47" s="17"/>
      <c r="G47" s="17"/>
      <c r="H47" s="17"/>
    </row>
    <row r="48" spans="1:8" x14ac:dyDescent="0.2">
      <c r="D48" s="17"/>
      <c r="E48" s="17"/>
      <c r="F48" s="17"/>
      <c r="G48" s="17"/>
      <c r="H48" s="17"/>
    </row>
  </sheetData>
  <mergeCells count="8">
    <mergeCell ref="A11:H11"/>
    <mergeCell ref="A1:H1"/>
    <mergeCell ref="A2:H2"/>
    <mergeCell ref="A3:H3"/>
    <mergeCell ref="A4:H4"/>
    <mergeCell ref="A5:H5"/>
    <mergeCell ref="A6:H8"/>
    <mergeCell ref="A9:H9"/>
  </mergeCells>
  <phoneticPr fontId="11" type="noConversion"/>
  <pageMargins left="0.75" right="0.4" top="0.75" bottom="0.75" header="0.5" footer="0.5"/>
  <pageSetup scale="90" firstPageNumber="0" orientation="portrait" useFirstPageNumber="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4597C-101A-4917-9A0C-C01306E108F4}">
  <dimension ref="A1:J49"/>
  <sheetViews>
    <sheetView workbookViewId="0">
      <selection activeCell="S29" sqref="S29"/>
    </sheetView>
  </sheetViews>
  <sheetFormatPr defaultRowHeight="12.75" x14ac:dyDescent="0.2"/>
  <cols>
    <col min="1" max="1" width="25" style="12" customWidth="1"/>
    <col min="2" max="3" width="13.85546875" style="12" hidden="1" customWidth="1"/>
    <col min="4" max="4" width="25" style="12" customWidth="1"/>
    <col min="5" max="6" width="19" style="12" hidden="1" customWidth="1"/>
    <col min="7" max="8" width="25" style="12" customWidth="1"/>
    <col min="9" max="9" width="9.140625" style="1"/>
    <col min="10" max="10" width="11" style="1" bestFit="1" customWidth="1"/>
    <col min="11" max="258" width="9.140625" style="1"/>
    <col min="259" max="263" width="18.5703125" style="1" customWidth="1"/>
    <col min="264" max="514" width="9.140625" style="1"/>
    <col min="515" max="519" width="18.5703125" style="1" customWidth="1"/>
    <col min="520" max="770" width="9.140625" style="1"/>
    <col min="771" max="775" width="18.5703125" style="1" customWidth="1"/>
    <col min="776" max="1026" width="9.140625" style="1"/>
    <col min="1027" max="1031" width="18.5703125" style="1" customWidth="1"/>
    <col min="1032" max="1282" width="9.140625" style="1"/>
    <col min="1283" max="1287" width="18.5703125" style="1" customWidth="1"/>
    <col min="1288" max="1538" width="9.140625" style="1"/>
    <col min="1539" max="1543" width="18.5703125" style="1" customWidth="1"/>
    <col min="1544" max="1794" width="9.140625" style="1"/>
    <col min="1795" max="1799" width="18.5703125" style="1" customWidth="1"/>
    <col min="1800" max="2050" width="9.140625" style="1"/>
    <col min="2051" max="2055" width="18.5703125" style="1" customWidth="1"/>
    <col min="2056" max="2306" width="9.140625" style="1"/>
    <col min="2307" max="2311" width="18.5703125" style="1" customWidth="1"/>
    <col min="2312" max="2562" width="9.140625" style="1"/>
    <col min="2563" max="2567" width="18.5703125" style="1" customWidth="1"/>
    <col min="2568" max="2818" width="9.140625" style="1"/>
    <col min="2819" max="2823" width="18.5703125" style="1" customWidth="1"/>
    <col min="2824" max="3074" width="9.140625" style="1"/>
    <col min="3075" max="3079" width="18.5703125" style="1" customWidth="1"/>
    <col min="3080" max="3330" width="9.140625" style="1"/>
    <col min="3331" max="3335" width="18.5703125" style="1" customWidth="1"/>
    <col min="3336" max="3586" width="9.140625" style="1"/>
    <col min="3587" max="3591" width="18.5703125" style="1" customWidth="1"/>
    <col min="3592" max="3842" width="9.140625" style="1"/>
    <col min="3843" max="3847" width="18.5703125" style="1" customWidth="1"/>
    <col min="3848" max="4098" width="9.140625" style="1"/>
    <col min="4099" max="4103" width="18.5703125" style="1" customWidth="1"/>
    <col min="4104" max="4354" width="9.140625" style="1"/>
    <col min="4355" max="4359" width="18.5703125" style="1" customWidth="1"/>
    <col min="4360" max="4610" width="9.140625" style="1"/>
    <col min="4611" max="4615" width="18.5703125" style="1" customWidth="1"/>
    <col min="4616" max="4866" width="9.140625" style="1"/>
    <col min="4867" max="4871" width="18.5703125" style="1" customWidth="1"/>
    <col min="4872" max="5122" width="9.140625" style="1"/>
    <col min="5123" max="5127" width="18.5703125" style="1" customWidth="1"/>
    <col min="5128" max="5378" width="9.140625" style="1"/>
    <col min="5379" max="5383" width="18.5703125" style="1" customWidth="1"/>
    <col min="5384" max="5634" width="9.140625" style="1"/>
    <col min="5635" max="5639" width="18.5703125" style="1" customWidth="1"/>
    <col min="5640" max="5890" width="9.140625" style="1"/>
    <col min="5891" max="5895" width="18.5703125" style="1" customWidth="1"/>
    <col min="5896" max="6146" width="9.140625" style="1"/>
    <col min="6147" max="6151" width="18.5703125" style="1" customWidth="1"/>
    <col min="6152" max="6402" width="9.140625" style="1"/>
    <col min="6403" max="6407" width="18.5703125" style="1" customWidth="1"/>
    <col min="6408" max="6658" width="9.140625" style="1"/>
    <col min="6659" max="6663" width="18.5703125" style="1" customWidth="1"/>
    <col min="6664" max="6914" width="9.140625" style="1"/>
    <col min="6915" max="6919" width="18.5703125" style="1" customWidth="1"/>
    <col min="6920" max="7170" width="9.140625" style="1"/>
    <col min="7171" max="7175" width="18.5703125" style="1" customWidth="1"/>
    <col min="7176" max="7426" width="9.140625" style="1"/>
    <col min="7427" max="7431" width="18.5703125" style="1" customWidth="1"/>
    <col min="7432" max="7682" width="9.140625" style="1"/>
    <col min="7683" max="7687" width="18.5703125" style="1" customWidth="1"/>
    <col min="7688" max="7938" width="9.140625" style="1"/>
    <col min="7939" max="7943" width="18.5703125" style="1" customWidth="1"/>
    <col min="7944" max="8194" width="9.140625" style="1"/>
    <col min="8195" max="8199" width="18.5703125" style="1" customWidth="1"/>
    <col min="8200" max="8450" width="9.140625" style="1"/>
    <col min="8451" max="8455" width="18.5703125" style="1" customWidth="1"/>
    <col min="8456" max="8706" width="9.140625" style="1"/>
    <col min="8707" max="8711" width="18.5703125" style="1" customWidth="1"/>
    <col min="8712" max="8962" width="9.140625" style="1"/>
    <col min="8963" max="8967" width="18.5703125" style="1" customWidth="1"/>
    <col min="8968" max="9218" width="9.140625" style="1"/>
    <col min="9219" max="9223" width="18.5703125" style="1" customWidth="1"/>
    <col min="9224" max="9474" width="9.140625" style="1"/>
    <col min="9475" max="9479" width="18.5703125" style="1" customWidth="1"/>
    <col min="9480" max="9730" width="9.140625" style="1"/>
    <col min="9731" max="9735" width="18.5703125" style="1" customWidth="1"/>
    <col min="9736" max="9986" width="9.140625" style="1"/>
    <col min="9987" max="9991" width="18.5703125" style="1" customWidth="1"/>
    <col min="9992" max="10242" width="9.140625" style="1"/>
    <col min="10243" max="10247" width="18.5703125" style="1" customWidth="1"/>
    <col min="10248" max="10498" width="9.140625" style="1"/>
    <col min="10499" max="10503" width="18.5703125" style="1" customWidth="1"/>
    <col min="10504" max="10754" width="9.140625" style="1"/>
    <col min="10755" max="10759" width="18.5703125" style="1" customWidth="1"/>
    <col min="10760" max="11010" width="9.140625" style="1"/>
    <col min="11011" max="11015" width="18.5703125" style="1" customWidth="1"/>
    <col min="11016" max="11266" width="9.140625" style="1"/>
    <col min="11267" max="11271" width="18.5703125" style="1" customWidth="1"/>
    <col min="11272" max="11522" width="9.140625" style="1"/>
    <col min="11523" max="11527" width="18.5703125" style="1" customWidth="1"/>
    <col min="11528" max="11778" width="9.140625" style="1"/>
    <col min="11779" max="11783" width="18.5703125" style="1" customWidth="1"/>
    <col min="11784" max="12034" width="9.140625" style="1"/>
    <col min="12035" max="12039" width="18.5703125" style="1" customWidth="1"/>
    <col min="12040" max="12290" width="9.140625" style="1"/>
    <col min="12291" max="12295" width="18.5703125" style="1" customWidth="1"/>
    <col min="12296" max="12546" width="9.140625" style="1"/>
    <col min="12547" max="12551" width="18.5703125" style="1" customWidth="1"/>
    <col min="12552" max="12802" width="9.140625" style="1"/>
    <col min="12803" max="12807" width="18.5703125" style="1" customWidth="1"/>
    <col min="12808" max="13058" width="9.140625" style="1"/>
    <col min="13059" max="13063" width="18.5703125" style="1" customWidth="1"/>
    <col min="13064" max="13314" width="9.140625" style="1"/>
    <col min="13315" max="13319" width="18.5703125" style="1" customWidth="1"/>
    <col min="13320" max="13570" width="9.140625" style="1"/>
    <col min="13571" max="13575" width="18.5703125" style="1" customWidth="1"/>
    <col min="13576" max="13826" width="9.140625" style="1"/>
    <col min="13827" max="13831" width="18.5703125" style="1" customWidth="1"/>
    <col min="13832" max="14082" width="9.140625" style="1"/>
    <col min="14083" max="14087" width="18.5703125" style="1" customWidth="1"/>
    <col min="14088" max="14338" width="9.140625" style="1"/>
    <col min="14339" max="14343" width="18.5703125" style="1" customWidth="1"/>
    <col min="14344" max="14594" width="9.140625" style="1"/>
    <col min="14595" max="14599" width="18.5703125" style="1" customWidth="1"/>
    <col min="14600" max="14850" width="9.140625" style="1"/>
    <col min="14851" max="14855" width="18.5703125" style="1" customWidth="1"/>
    <col min="14856" max="15106" width="9.140625" style="1"/>
    <col min="15107" max="15111" width="18.5703125" style="1" customWidth="1"/>
    <col min="15112" max="15362" width="9.140625" style="1"/>
    <col min="15363" max="15367" width="18.5703125" style="1" customWidth="1"/>
    <col min="15368" max="15618" width="9.140625" style="1"/>
    <col min="15619" max="15623" width="18.5703125" style="1" customWidth="1"/>
    <col min="15624" max="15874" width="9.140625" style="1"/>
    <col min="15875" max="15879" width="18.5703125" style="1" customWidth="1"/>
    <col min="15880" max="16130" width="9.140625" style="1"/>
    <col min="16131" max="16135" width="18.5703125" style="1" customWidth="1"/>
    <col min="16136" max="16384" width="9.140625" style="1"/>
  </cols>
  <sheetData>
    <row r="1" spans="1:10" ht="15" customHeight="1" x14ac:dyDescent="0.25">
      <c r="A1" s="100" t="s">
        <v>0</v>
      </c>
      <c r="B1" s="100"/>
      <c r="C1" s="100"/>
      <c r="D1" s="100"/>
      <c r="E1" s="100"/>
      <c r="F1" s="100"/>
      <c r="G1" s="100"/>
      <c r="H1" s="100"/>
    </row>
    <row r="2" spans="1:10" ht="15" customHeight="1" x14ac:dyDescent="0.25">
      <c r="A2" s="100" t="s">
        <v>154</v>
      </c>
      <c r="B2" s="100"/>
      <c r="C2" s="100"/>
      <c r="D2" s="100"/>
      <c r="E2" s="100"/>
      <c r="F2" s="100"/>
      <c r="G2" s="100"/>
      <c r="H2" s="100"/>
    </row>
    <row r="3" spans="1:10" ht="15" customHeight="1" x14ac:dyDescent="0.25">
      <c r="A3" s="101" t="s">
        <v>1</v>
      </c>
      <c r="B3" s="101"/>
      <c r="C3" s="101"/>
      <c r="D3" s="101"/>
      <c r="E3" s="101"/>
      <c r="F3" s="101"/>
      <c r="G3" s="101"/>
      <c r="H3" s="101"/>
    </row>
    <row r="4" spans="1:10" ht="15" customHeight="1" x14ac:dyDescent="0.25">
      <c r="A4" s="101" t="s">
        <v>96</v>
      </c>
      <c r="B4" s="101"/>
      <c r="C4" s="101"/>
      <c r="D4" s="101"/>
      <c r="E4" s="101"/>
      <c r="F4" s="101"/>
      <c r="G4" s="101"/>
      <c r="H4" s="101"/>
    </row>
    <row r="5" spans="1:10" ht="15" customHeight="1" x14ac:dyDescent="0.25">
      <c r="A5" s="101" t="s">
        <v>97</v>
      </c>
      <c r="B5" s="101"/>
      <c r="C5" s="101"/>
      <c r="D5" s="101"/>
      <c r="E5" s="101"/>
      <c r="F5" s="101"/>
      <c r="G5" s="101"/>
      <c r="H5" s="101"/>
    </row>
    <row r="6" spans="1:10" ht="8.25" customHeight="1" x14ac:dyDescent="0.2">
      <c r="A6" s="104" t="s">
        <v>141</v>
      </c>
      <c r="B6" s="104"/>
      <c r="C6" s="104"/>
      <c r="D6" s="104"/>
      <c r="E6" s="104"/>
      <c r="F6" s="104"/>
      <c r="G6" s="104"/>
      <c r="H6" s="104"/>
    </row>
    <row r="7" spans="1:10" ht="15" customHeight="1" x14ac:dyDescent="0.2">
      <c r="A7" s="104"/>
      <c r="B7" s="104"/>
      <c r="C7" s="104"/>
      <c r="D7" s="104"/>
      <c r="E7" s="104"/>
      <c r="F7" s="104"/>
      <c r="G7" s="104"/>
      <c r="H7" s="104"/>
    </row>
    <row r="8" spans="1:10" ht="23.25" customHeight="1" x14ac:dyDescent="0.2">
      <c r="A8" s="104"/>
      <c r="B8" s="104"/>
      <c r="C8" s="104"/>
      <c r="D8" s="104"/>
      <c r="E8" s="104"/>
      <c r="F8" s="104"/>
      <c r="G8" s="104"/>
      <c r="H8" s="104"/>
    </row>
    <row r="9" spans="1:10" ht="15" customHeight="1" x14ac:dyDescent="0.2">
      <c r="A9" s="103" t="s">
        <v>126</v>
      </c>
      <c r="B9" s="103"/>
      <c r="C9" s="103"/>
      <c r="D9" s="103"/>
      <c r="E9" s="103"/>
      <c r="F9" s="103"/>
      <c r="G9" s="103"/>
      <c r="H9" s="103"/>
    </row>
    <row r="10" spans="1:10" ht="9" customHeight="1" x14ac:dyDescent="0.2">
      <c r="A10" s="22"/>
      <c r="B10" s="22"/>
      <c r="C10" s="22"/>
      <c r="D10" s="22"/>
      <c r="E10" s="22"/>
      <c r="F10" s="22"/>
      <c r="G10" s="22"/>
      <c r="H10" s="22"/>
    </row>
    <row r="11" spans="1:10" ht="9" customHeight="1" x14ac:dyDescent="0.2">
      <c r="A11" s="99"/>
      <c r="B11" s="99"/>
      <c r="C11" s="99"/>
      <c r="D11" s="99"/>
      <c r="E11" s="99"/>
      <c r="F11" s="99"/>
      <c r="G11" s="99"/>
      <c r="H11" s="99"/>
    </row>
    <row r="12" spans="1:10" x14ac:dyDescent="0.2">
      <c r="A12" s="3" t="s">
        <v>43</v>
      </c>
      <c r="B12" s="34" t="s">
        <v>128</v>
      </c>
      <c r="C12" s="34" t="s">
        <v>127</v>
      </c>
      <c r="D12" s="20" t="s">
        <v>44</v>
      </c>
      <c r="E12" s="34" t="s">
        <v>129</v>
      </c>
      <c r="F12" s="34" t="s">
        <v>130</v>
      </c>
      <c r="G12" s="20" t="s">
        <v>45</v>
      </c>
      <c r="H12" s="20" t="s">
        <v>46</v>
      </c>
    </row>
    <row r="13" spans="1:10" ht="8.25" customHeight="1" x14ac:dyDescent="0.2">
      <c r="B13" s="35"/>
      <c r="C13" s="35"/>
      <c r="E13" s="35"/>
      <c r="F13" s="35"/>
    </row>
    <row r="14" spans="1:10" s="5" customFormat="1" ht="12" customHeight="1" x14ac:dyDescent="0.2">
      <c r="A14" s="4" t="s">
        <v>6</v>
      </c>
      <c r="B14" s="36">
        <v>455000</v>
      </c>
      <c r="C14" s="36">
        <v>145000</v>
      </c>
      <c r="D14" s="15">
        <v>600000</v>
      </c>
      <c r="E14" s="36">
        <v>327200</v>
      </c>
      <c r="F14" s="36">
        <v>89900</v>
      </c>
      <c r="G14" s="15">
        <f>214550+202550</f>
        <v>417100</v>
      </c>
      <c r="H14" s="15">
        <f t="shared" ref="H14:H30" si="0">+D14+G14</f>
        <v>1017100</v>
      </c>
      <c r="J14" s="47"/>
    </row>
    <row r="15" spans="1:10" s="5" customFormat="1" ht="12" customHeight="1" x14ac:dyDescent="0.2">
      <c r="A15" s="4" t="s">
        <v>7</v>
      </c>
      <c r="B15" s="36">
        <v>470000</v>
      </c>
      <c r="C15" s="36">
        <v>150000</v>
      </c>
      <c r="D15" s="15">
        <v>620000</v>
      </c>
      <c r="E15" s="36">
        <v>308700</v>
      </c>
      <c r="F15" s="36">
        <v>84000</v>
      </c>
      <c r="G15" s="15">
        <f>202550+190150</f>
        <v>392700</v>
      </c>
      <c r="H15" s="15">
        <f t="shared" si="0"/>
        <v>1012700</v>
      </c>
      <c r="J15" s="47"/>
    </row>
    <row r="16" spans="1:10" s="5" customFormat="1" ht="12" customHeight="1" x14ac:dyDescent="0.2">
      <c r="A16" s="4" t="s">
        <v>8</v>
      </c>
      <c r="B16" s="36">
        <v>490000</v>
      </c>
      <c r="C16" s="36">
        <v>160000</v>
      </c>
      <c r="D16" s="15">
        <v>650000</v>
      </c>
      <c r="E16" s="36">
        <v>289500</v>
      </c>
      <c r="F16" s="36">
        <v>77800</v>
      </c>
      <c r="G16" s="15">
        <f>190150+177150</f>
        <v>367300</v>
      </c>
      <c r="H16" s="15">
        <f t="shared" si="0"/>
        <v>1017300</v>
      </c>
      <c r="J16" s="47"/>
    </row>
    <row r="17" spans="1:10" s="5" customFormat="1" ht="12" customHeight="1" x14ac:dyDescent="0.2">
      <c r="A17" s="4" t="s">
        <v>9</v>
      </c>
      <c r="B17" s="36">
        <v>510000</v>
      </c>
      <c r="C17" s="36">
        <v>165000</v>
      </c>
      <c r="D17" s="15">
        <v>675000</v>
      </c>
      <c r="E17" s="36">
        <v>269500</v>
      </c>
      <c r="F17" s="36">
        <v>71300</v>
      </c>
      <c r="G17" s="15">
        <f>177150+163650</f>
        <v>340800</v>
      </c>
      <c r="H17" s="15">
        <f t="shared" si="0"/>
        <v>1015800</v>
      </c>
      <c r="J17" s="47"/>
    </row>
    <row r="18" spans="1:10" s="5" customFormat="1" ht="12" customHeight="1" x14ac:dyDescent="0.2">
      <c r="A18" s="4" t="s">
        <v>12</v>
      </c>
      <c r="B18" s="36">
        <v>655000</v>
      </c>
      <c r="C18" s="36">
        <v>170000</v>
      </c>
      <c r="D18" s="15">
        <v>825000</v>
      </c>
      <c r="E18" s="36">
        <v>246200</v>
      </c>
      <c r="F18" s="36">
        <v>64600</v>
      </c>
      <c r="G18" s="15">
        <f>163650+147150</f>
        <v>310800</v>
      </c>
      <c r="H18" s="15">
        <f t="shared" si="0"/>
        <v>1135800</v>
      </c>
      <c r="J18" s="47"/>
    </row>
    <row r="19" spans="1:10" s="5" customFormat="1" ht="12" customHeight="1" x14ac:dyDescent="0.2">
      <c r="A19" s="4" t="s">
        <v>18</v>
      </c>
      <c r="B19" s="36">
        <v>680000</v>
      </c>
      <c r="C19" s="36">
        <v>180000</v>
      </c>
      <c r="D19" s="15">
        <v>860000</v>
      </c>
      <c r="E19" s="36">
        <v>219500</v>
      </c>
      <c r="F19" s="36">
        <v>57600</v>
      </c>
      <c r="G19" s="15">
        <f>147150+129950</f>
        <v>277100</v>
      </c>
      <c r="H19" s="15">
        <f t="shared" si="0"/>
        <v>1137100</v>
      </c>
      <c r="J19" s="47"/>
    </row>
    <row r="20" spans="1:10" s="5" customFormat="1" ht="12" customHeight="1" x14ac:dyDescent="0.2">
      <c r="A20" s="4" t="s">
        <v>19</v>
      </c>
      <c r="B20" s="36">
        <v>710000</v>
      </c>
      <c r="C20" s="36">
        <v>185000</v>
      </c>
      <c r="D20" s="15">
        <v>895000</v>
      </c>
      <c r="E20" s="36">
        <v>191700</v>
      </c>
      <c r="F20" s="36">
        <v>50300</v>
      </c>
      <c r="G20" s="15">
        <f>129950+112050</f>
        <v>242000</v>
      </c>
      <c r="H20" s="15">
        <f t="shared" si="0"/>
        <v>1137000</v>
      </c>
      <c r="J20" s="47"/>
    </row>
    <row r="21" spans="1:10" s="5" customFormat="1" ht="12" customHeight="1" x14ac:dyDescent="0.2">
      <c r="A21" s="4" t="s">
        <v>20</v>
      </c>
      <c r="B21" s="36">
        <v>735000</v>
      </c>
      <c r="C21" s="36">
        <v>195000</v>
      </c>
      <c r="D21" s="15">
        <v>930000</v>
      </c>
      <c r="E21" s="36">
        <v>162800</v>
      </c>
      <c r="F21" s="36">
        <v>42700</v>
      </c>
      <c r="G21" s="15">
        <f>112050+93450</f>
        <v>205500</v>
      </c>
      <c r="H21" s="15">
        <f t="shared" si="0"/>
        <v>1135500</v>
      </c>
      <c r="J21" s="47"/>
    </row>
    <row r="22" spans="1:10" s="5" customFormat="1" ht="12" customHeight="1" x14ac:dyDescent="0.2">
      <c r="A22" s="4" t="s">
        <v>21</v>
      </c>
      <c r="B22" s="36">
        <v>760000</v>
      </c>
      <c r="C22" s="36">
        <v>200000</v>
      </c>
      <c r="D22" s="15">
        <v>960000</v>
      </c>
      <c r="E22" s="36">
        <v>140500</v>
      </c>
      <c r="F22" s="36">
        <v>36800</v>
      </c>
      <c r="G22" s="15">
        <f>93450+83850</f>
        <v>177300</v>
      </c>
      <c r="H22" s="15">
        <f t="shared" si="0"/>
        <v>1137300</v>
      </c>
      <c r="J22" s="47"/>
    </row>
    <row r="23" spans="1:10" s="5" customFormat="1" ht="12" customHeight="1" x14ac:dyDescent="0.2">
      <c r="A23" s="4" t="s">
        <v>24</v>
      </c>
      <c r="B23" s="36">
        <v>775000</v>
      </c>
      <c r="C23" s="36">
        <v>200000</v>
      </c>
      <c r="D23" s="15">
        <v>975000</v>
      </c>
      <c r="E23" s="36">
        <v>125150</v>
      </c>
      <c r="F23" s="36">
        <v>32800</v>
      </c>
      <c r="G23" s="15">
        <f>83850+74100</f>
        <v>157950</v>
      </c>
      <c r="H23" s="15">
        <f t="shared" si="0"/>
        <v>1132950</v>
      </c>
      <c r="J23" s="47"/>
    </row>
    <row r="24" spans="1:10" s="5" customFormat="1" ht="12" customHeight="1" x14ac:dyDescent="0.2">
      <c r="A24" s="4" t="s">
        <v>25</v>
      </c>
      <c r="B24" s="36">
        <v>790000</v>
      </c>
      <c r="C24" s="36">
        <v>205000</v>
      </c>
      <c r="D24" s="15">
        <v>995000</v>
      </c>
      <c r="E24" s="36">
        <v>109500</v>
      </c>
      <c r="F24" s="36">
        <v>28750</v>
      </c>
      <c r="G24" s="15">
        <f>74100+64150</f>
        <v>138250</v>
      </c>
      <c r="H24" s="15">
        <f t="shared" si="0"/>
        <v>1133250</v>
      </c>
      <c r="J24" s="47"/>
    </row>
    <row r="25" spans="1:10" s="5" customFormat="1" ht="12" customHeight="1" x14ac:dyDescent="0.2">
      <c r="A25" s="4" t="s">
        <v>41</v>
      </c>
      <c r="B25" s="36">
        <v>805000</v>
      </c>
      <c r="C25" s="36">
        <v>210000</v>
      </c>
      <c r="D25" s="15">
        <v>1015000</v>
      </c>
      <c r="E25" s="36">
        <v>93550</v>
      </c>
      <c r="F25" s="36">
        <v>24600</v>
      </c>
      <c r="G25" s="15">
        <f>64150+54000</f>
        <v>118150</v>
      </c>
      <c r="H25" s="15">
        <f t="shared" si="0"/>
        <v>1133150</v>
      </c>
      <c r="J25" s="47"/>
    </row>
    <row r="26" spans="1:10" s="5" customFormat="1" ht="12" customHeight="1" x14ac:dyDescent="0.2">
      <c r="A26" s="4" t="s">
        <v>49</v>
      </c>
      <c r="B26" s="36">
        <v>820000</v>
      </c>
      <c r="C26" s="36">
        <v>215000</v>
      </c>
      <c r="D26" s="15">
        <v>1035000</v>
      </c>
      <c r="E26" s="36">
        <v>77300</v>
      </c>
      <c r="F26" s="36">
        <v>20350</v>
      </c>
      <c r="G26" s="15">
        <f>54000+43650</f>
        <v>97650</v>
      </c>
      <c r="H26" s="15">
        <f t="shared" si="0"/>
        <v>1132650</v>
      </c>
      <c r="J26" s="47"/>
    </row>
    <row r="27" spans="1:10" s="5" customFormat="1" ht="12" customHeight="1" x14ac:dyDescent="0.2">
      <c r="A27" s="4" t="s">
        <v>52</v>
      </c>
      <c r="B27" s="36">
        <v>840000</v>
      </c>
      <c r="C27" s="36">
        <v>220000</v>
      </c>
      <c r="D27" s="15">
        <v>1060000</v>
      </c>
      <c r="E27" s="36">
        <v>60700</v>
      </c>
      <c r="F27" s="36">
        <v>16000</v>
      </c>
      <c r="G27" s="15">
        <f>43650+33050</f>
        <v>76700</v>
      </c>
      <c r="H27" s="15">
        <f t="shared" si="0"/>
        <v>1136700</v>
      </c>
      <c r="J27" s="47"/>
    </row>
    <row r="28" spans="1:10" s="5" customFormat="1" ht="12" customHeight="1" x14ac:dyDescent="0.2">
      <c r="A28" s="4" t="s">
        <v>75</v>
      </c>
      <c r="B28" s="36">
        <v>855000</v>
      </c>
      <c r="C28" s="36">
        <v>225000</v>
      </c>
      <c r="D28" s="15">
        <v>1080000</v>
      </c>
      <c r="E28" s="36">
        <v>43750</v>
      </c>
      <c r="F28" s="36">
        <v>11550</v>
      </c>
      <c r="G28" s="15">
        <f>33050+22250</f>
        <v>55300</v>
      </c>
      <c r="H28" s="15">
        <f t="shared" si="0"/>
        <v>1135300</v>
      </c>
      <c r="J28" s="47"/>
    </row>
    <row r="29" spans="1:10" s="5" customFormat="1" ht="12" customHeight="1" x14ac:dyDescent="0.2">
      <c r="A29" s="4" t="s">
        <v>82</v>
      </c>
      <c r="B29" s="36">
        <v>875000</v>
      </c>
      <c r="C29" s="36">
        <v>230000</v>
      </c>
      <c r="D29" s="15">
        <v>1105000</v>
      </c>
      <c r="E29" s="36">
        <v>26450</v>
      </c>
      <c r="F29" s="36">
        <v>7000</v>
      </c>
      <c r="G29" s="15">
        <f>22250+11200</f>
        <v>33450</v>
      </c>
      <c r="H29" s="15">
        <f t="shared" si="0"/>
        <v>1138450</v>
      </c>
      <c r="J29" s="47"/>
    </row>
    <row r="30" spans="1:10" s="5" customFormat="1" ht="12" customHeight="1" x14ac:dyDescent="0.2">
      <c r="A30" s="4" t="s">
        <v>95</v>
      </c>
      <c r="B30" s="36">
        <v>885000</v>
      </c>
      <c r="C30" s="36">
        <v>235000</v>
      </c>
      <c r="D30" s="15">
        <v>1120000</v>
      </c>
      <c r="E30" s="36">
        <v>8850</v>
      </c>
      <c r="F30" s="36">
        <v>2350</v>
      </c>
      <c r="G30" s="15">
        <f>11200</f>
        <v>11200</v>
      </c>
      <c r="H30" s="15">
        <f t="shared" si="0"/>
        <v>1131200</v>
      </c>
      <c r="J30" s="47"/>
    </row>
    <row r="31" spans="1:10" x14ac:dyDescent="0.2">
      <c r="A31" s="6" t="s">
        <v>4</v>
      </c>
      <c r="B31" s="43">
        <f t="shared" ref="B31:H31" si="1">SUM(B14:B30)</f>
        <v>12110000</v>
      </c>
      <c r="C31" s="43">
        <f t="shared" si="1"/>
        <v>3290000</v>
      </c>
      <c r="D31" s="16">
        <f t="shared" si="1"/>
        <v>15400000</v>
      </c>
      <c r="E31" s="43">
        <f t="shared" si="1"/>
        <v>2700850</v>
      </c>
      <c r="F31" s="43">
        <f t="shared" si="1"/>
        <v>718400</v>
      </c>
      <c r="G31" s="16">
        <f t="shared" si="1"/>
        <v>3419250</v>
      </c>
      <c r="H31" s="16">
        <f t="shared" si="1"/>
        <v>18819250</v>
      </c>
    </row>
    <row r="32" spans="1:10" x14ac:dyDescent="0.2">
      <c r="A32" s="7"/>
      <c r="B32" s="7"/>
      <c r="C32" s="7"/>
      <c r="D32" s="17"/>
      <c r="E32" s="17"/>
      <c r="F32" s="17"/>
      <c r="G32" s="17"/>
      <c r="H32" s="17"/>
    </row>
    <row r="33" spans="1:8" x14ac:dyDescent="0.2">
      <c r="A33" s="7" t="s">
        <v>33</v>
      </c>
      <c r="B33" s="7"/>
      <c r="C33" s="7"/>
      <c r="D33" s="17"/>
      <c r="E33" s="17"/>
      <c r="F33" s="17"/>
      <c r="G33" s="17"/>
      <c r="H33" s="17"/>
    </row>
    <row r="34" spans="1:8" x14ac:dyDescent="0.2">
      <c r="A34" s="7"/>
      <c r="B34" s="7"/>
      <c r="C34" s="7"/>
      <c r="D34" s="17"/>
      <c r="E34" s="17"/>
      <c r="F34" s="17"/>
      <c r="G34" s="17"/>
      <c r="H34" s="17"/>
    </row>
    <row r="35" spans="1:8" x14ac:dyDescent="0.2">
      <c r="A35" s="7"/>
      <c r="B35" s="7"/>
      <c r="C35" s="7"/>
      <c r="D35" s="17"/>
      <c r="E35" s="17"/>
      <c r="F35" s="17"/>
      <c r="G35" s="17"/>
      <c r="H35" s="17"/>
    </row>
    <row r="36" spans="1:8" x14ac:dyDescent="0.2">
      <c r="A36" s="7"/>
      <c r="B36" s="7"/>
      <c r="C36" s="7"/>
      <c r="D36" s="17"/>
      <c r="E36" s="17"/>
      <c r="F36" s="17"/>
      <c r="G36" s="17"/>
      <c r="H36" s="17"/>
    </row>
    <row r="37" spans="1:8" x14ac:dyDescent="0.2">
      <c r="A37" s="7"/>
      <c r="B37" s="7"/>
      <c r="C37" s="7"/>
      <c r="D37" s="17"/>
      <c r="E37" s="17"/>
      <c r="F37" s="17"/>
      <c r="G37" s="17"/>
      <c r="H37" s="17"/>
    </row>
    <row r="38" spans="1:8" x14ac:dyDescent="0.2">
      <c r="A38" s="7"/>
      <c r="B38" s="7"/>
      <c r="C38" s="7"/>
      <c r="D38" s="17"/>
      <c r="E38" s="17"/>
      <c r="F38" s="17"/>
      <c r="G38" s="17"/>
      <c r="H38" s="17"/>
    </row>
    <row r="39" spans="1:8" x14ac:dyDescent="0.2">
      <c r="A39" s="7"/>
      <c r="B39" s="7"/>
      <c r="C39" s="7"/>
      <c r="D39" s="17"/>
      <c r="E39" s="17"/>
      <c r="F39" s="17"/>
      <c r="G39" s="17"/>
      <c r="H39" s="17"/>
    </row>
    <row r="40" spans="1:8" x14ac:dyDescent="0.2">
      <c r="D40" s="17"/>
      <c r="E40" s="17"/>
      <c r="F40" s="17"/>
      <c r="G40" s="17"/>
      <c r="H40" s="17"/>
    </row>
    <row r="41" spans="1:8" x14ac:dyDescent="0.2">
      <c r="D41" s="17"/>
      <c r="E41" s="17"/>
      <c r="F41" s="17"/>
      <c r="G41" s="17"/>
      <c r="H41" s="17"/>
    </row>
    <row r="42" spans="1:8" x14ac:dyDescent="0.2">
      <c r="D42" s="17"/>
      <c r="E42" s="17"/>
      <c r="F42" s="17"/>
      <c r="G42" s="17"/>
      <c r="H42" s="17"/>
    </row>
    <row r="43" spans="1:8" x14ac:dyDescent="0.2">
      <c r="D43" s="17"/>
      <c r="E43" s="17"/>
      <c r="F43" s="17"/>
      <c r="G43" s="17"/>
      <c r="H43" s="17"/>
    </row>
    <row r="44" spans="1:8" x14ac:dyDescent="0.2">
      <c r="D44" s="17"/>
      <c r="E44" s="17"/>
      <c r="F44" s="17"/>
      <c r="G44" s="17"/>
      <c r="H44" s="17"/>
    </row>
    <row r="45" spans="1:8" x14ac:dyDescent="0.2">
      <c r="D45" s="17"/>
      <c r="E45" s="17"/>
      <c r="F45" s="17"/>
      <c r="G45" s="17"/>
      <c r="H45" s="17"/>
    </row>
    <row r="46" spans="1:8" x14ac:dyDescent="0.2">
      <c r="D46" s="17"/>
      <c r="E46" s="17"/>
      <c r="F46" s="17"/>
      <c r="G46" s="17"/>
      <c r="H46" s="17"/>
    </row>
    <row r="47" spans="1:8" x14ac:dyDescent="0.2">
      <c r="D47" s="17"/>
      <c r="E47" s="17"/>
      <c r="F47" s="17"/>
      <c r="G47" s="17"/>
      <c r="H47" s="17"/>
    </row>
    <row r="48" spans="1:8" x14ac:dyDescent="0.2">
      <c r="D48" s="17"/>
      <c r="E48" s="17"/>
      <c r="F48" s="17"/>
      <c r="G48" s="17"/>
      <c r="H48" s="17"/>
    </row>
    <row r="49" spans="4:8" x14ac:dyDescent="0.2">
      <c r="D49" s="17"/>
      <c r="E49" s="17"/>
      <c r="F49" s="17"/>
      <c r="G49" s="17"/>
      <c r="H49" s="17"/>
    </row>
  </sheetData>
  <mergeCells count="8">
    <mergeCell ref="A11:H11"/>
    <mergeCell ref="A1:H1"/>
    <mergeCell ref="A2:H2"/>
    <mergeCell ref="A3:H3"/>
    <mergeCell ref="A4:H4"/>
    <mergeCell ref="A5:H5"/>
    <mergeCell ref="A6:H8"/>
    <mergeCell ref="A9:H9"/>
  </mergeCells>
  <phoneticPr fontId="11" type="noConversion"/>
  <pageMargins left="0.75" right="0.4" top="0.75" bottom="0.75" header="0.5" footer="0.5"/>
  <pageSetup scale="90" firstPageNumber="0" orientation="portrait" useFirstPageNumber="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746B0-AB81-49B2-B729-13D60D56AF24}">
  <dimension ref="A1:D49"/>
  <sheetViews>
    <sheetView workbookViewId="0">
      <selection activeCell="H34" sqref="H34"/>
    </sheetView>
  </sheetViews>
  <sheetFormatPr defaultRowHeight="12.75" x14ac:dyDescent="0.2"/>
  <cols>
    <col min="1" max="4" width="25" style="12" customWidth="1"/>
    <col min="5" max="186" width="9.140625" style="1"/>
    <col min="187" max="191" width="18.5703125" style="1" customWidth="1"/>
    <col min="192" max="442" width="9.140625" style="1"/>
    <col min="443" max="447" width="18.5703125" style="1" customWidth="1"/>
    <col min="448" max="698" width="9.140625" style="1"/>
    <col min="699" max="703" width="18.5703125" style="1" customWidth="1"/>
    <col min="704" max="954" width="9.140625" style="1"/>
    <col min="955" max="959" width="18.5703125" style="1" customWidth="1"/>
    <col min="960" max="1210" width="9.140625" style="1"/>
    <col min="1211" max="1215" width="18.5703125" style="1" customWidth="1"/>
    <col min="1216" max="1466" width="9.140625" style="1"/>
    <col min="1467" max="1471" width="18.5703125" style="1" customWidth="1"/>
    <col min="1472" max="1722" width="9.140625" style="1"/>
    <col min="1723" max="1727" width="18.5703125" style="1" customWidth="1"/>
    <col min="1728" max="1978" width="9.140625" style="1"/>
    <col min="1979" max="1983" width="18.5703125" style="1" customWidth="1"/>
    <col min="1984" max="2234" width="9.140625" style="1"/>
    <col min="2235" max="2239" width="18.5703125" style="1" customWidth="1"/>
    <col min="2240" max="2490" width="9.140625" style="1"/>
    <col min="2491" max="2495" width="18.5703125" style="1" customWidth="1"/>
    <col min="2496" max="2746" width="9.140625" style="1"/>
    <col min="2747" max="2751" width="18.5703125" style="1" customWidth="1"/>
    <col min="2752" max="3002" width="9.140625" style="1"/>
    <col min="3003" max="3007" width="18.5703125" style="1" customWidth="1"/>
    <col min="3008" max="3258" width="9.140625" style="1"/>
    <col min="3259" max="3263" width="18.5703125" style="1" customWidth="1"/>
    <col min="3264" max="3514" width="9.140625" style="1"/>
    <col min="3515" max="3519" width="18.5703125" style="1" customWidth="1"/>
    <col min="3520" max="3770" width="9.140625" style="1"/>
    <col min="3771" max="3775" width="18.5703125" style="1" customWidth="1"/>
    <col min="3776" max="4026" width="9.140625" style="1"/>
    <col min="4027" max="4031" width="18.5703125" style="1" customWidth="1"/>
    <col min="4032" max="4282" width="9.140625" style="1"/>
    <col min="4283" max="4287" width="18.5703125" style="1" customWidth="1"/>
    <col min="4288" max="4538" width="9.140625" style="1"/>
    <col min="4539" max="4543" width="18.5703125" style="1" customWidth="1"/>
    <col min="4544" max="4794" width="9.140625" style="1"/>
    <col min="4795" max="4799" width="18.5703125" style="1" customWidth="1"/>
    <col min="4800" max="5050" width="9.140625" style="1"/>
    <col min="5051" max="5055" width="18.5703125" style="1" customWidth="1"/>
    <col min="5056" max="5306" width="9.140625" style="1"/>
    <col min="5307" max="5311" width="18.5703125" style="1" customWidth="1"/>
    <col min="5312" max="5562" width="9.140625" style="1"/>
    <col min="5563" max="5567" width="18.5703125" style="1" customWidth="1"/>
    <col min="5568" max="5818" width="9.140625" style="1"/>
    <col min="5819" max="5823" width="18.5703125" style="1" customWidth="1"/>
    <col min="5824" max="6074" width="9.140625" style="1"/>
    <col min="6075" max="6079" width="18.5703125" style="1" customWidth="1"/>
    <col min="6080" max="6330" width="9.140625" style="1"/>
    <col min="6331" max="6335" width="18.5703125" style="1" customWidth="1"/>
    <col min="6336" max="6586" width="9.140625" style="1"/>
    <col min="6587" max="6591" width="18.5703125" style="1" customWidth="1"/>
    <col min="6592" max="6842" width="9.140625" style="1"/>
    <col min="6843" max="6847" width="18.5703125" style="1" customWidth="1"/>
    <col min="6848" max="7098" width="9.140625" style="1"/>
    <col min="7099" max="7103" width="18.5703125" style="1" customWidth="1"/>
    <col min="7104" max="7354" width="9.140625" style="1"/>
    <col min="7355" max="7359" width="18.5703125" style="1" customWidth="1"/>
    <col min="7360" max="7610" width="9.140625" style="1"/>
    <col min="7611" max="7615" width="18.5703125" style="1" customWidth="1"/>
    <col min="7616" max="7866" width="9.140625" style="1"/>
    <col min="7867" max="7871" width="18.5703125" style="1" customWidth="1"/>
    <col min="7872" max="8122" width="9.140625" style="1"/>
    <col min="8123" max="8127" width="18.5703125" style="1" customWidth="1"/>
    <col min="8128" max="8378" width="9.140625" style="1"/>
    <col min="8379" max="8383" width="18.5703125" style="1" customWidth="1"/>
    <col min="8384" max="8634" width="9.140625" style="1"/>
    <col min="8635" max="8639" width="18.5703125" style="1" customWidth="1"/>
    <col min="8640" max="8890" width="9.140625" style="1"/>
    <col min="8891" max="8895" width="18.5703125" style="1" customWidth="1"/>
    <col min="8896" max="9146" width="9.140625" style="1"/>
    <col min="9147" max="9151" width="18.5703125" style="1" customWidth="1"/>
    <col min="9152" max="9402" width="9.140625" style="1"/>
    <col min="9403" max="9407" width="18.5703125" style="1" customWidth="1"/>
    <col min="9408" max="9658" width="9.140625" style="1"/>
    <col min="9659" max="9663" width="18.5703125" style="1" customWidth="1"/>
    <col min="9664" max="9914" width="9.140625" style="1"/>
    <col min="9915" max="9919" width="18.5703125" style="1" customWidth="1"/>
    <col min="9920" max="10170" width="9.140625" style="1"/>
    <col min="10171" max="10175" width="18.5703125" style="1" customWidth="1"/>
    <col min="10176" max="10426" width="9.140625" style="1"/>
    <col min="10427" max="10431" width="18.5703125" style="1" customWidth="1"/>
    <col min="10432" max="10682" width="9.140625" style="1"/>
    <col min="10683" max="10687" width="18.5703125" style="1" customWidth="1"/>
    <col min="10688" max="10938" width="9.140625" style="1"/>
    <col min="10939" max="10943" width="18.5703125" style="1" customWidth="1"/>
    <col min="10944" max="11194" width="9.140625" style="1"/>
    <col min="11195" max="11199" width="18.5703125" style="1" customWidth="1"/>
    <col min="11200" max="11450" width="9.140625" style="1"/>
    <col min="11451" max="11455" width="18.5703125" style="1" customWidth="1"/>
    <col min="11456" max="11706" width="9.140625" style="1"/>
    <col min="11707" max="11711" width="18.5703125" style="1" customWidth="1"/>
    <col min="11712" max="11962" width="9.140625" style="1"/>
    <col min="11963" max="11967" width="18.5703125" style="1" customWidth="1"/>
    <col min="11968" max="12218" width="9.140625" style="1"/>
    <col min="12219" max="12223" width="18.5703125" style="1" customWidth="1"/>
    <col min="12224" max="12474" width="9.140625" style="1"/>
    <col min="12475" max="12479" width="18.5703125" style="1" customWidth="1"/>
    <col min="12480" max="12730" width="9.140625" style="1"/>
    <col min="12731" max="12735" width="18.5703125" style="1" customWidth="1"/>
    <col min="12736" max="12986" width="9.140625" style="1"/>
    <col min="12987" max="12991" width="18.5703125" style="1" customWidth="1"/>
    <col min="12992" max="13242" width="9.140625" style="1"/>
    <col min="13243" max="13247" width="18.5703125" style="1" customWidth="1"/>
    <col min="13248" max="13498" width="9.140625" style="1"/>
    <col min="13499" max="13503" width="18.5703125" style="1" customWidth="1"/>
    <col min="13504" max="13754" width="9.140625" style="1"/>
    <col min="13755" max="13759" width="18.5703125" style="1" customWidth="1"/>
    <col min="13760" max="14010" width="9.140625" style="1"/>
    <col min="14011" max="14015" width="18.5703125" style="1" customWidth="1"/>
    <col min="14016" max="14266" width="9.140625" style="1"/>
    <col min="14267" max="14271" width="18.5703125" style="1" customWidth="1"/>
    <col min="14272" max="14522" width="9.140625" style="1"/>
    <col min="14523" max="14527" width="18.5703125" style="1" customWidth="1"/>
    <col min="14528" max="14778" width="9.140625" style="1"/>
    <col min="14779" max="14783" width="18.5703125" style="1" customWidth="1"/>
    <col min="14784" max="15034" width="9.140625" style="1"/>
    <col min="15035" max="15039" width="18.5703125" style="1" customWidth="1"/>
    <col min="15040" max="15290" width="9.140625" style="1"/>
    <col min="15291" max="15295" width="18.5703125" style="1" customWidth="1"/>
    <col min="15296" max="15546" width="9.140625" style="1"/>
    <col min="15547" max="15551" width="18.5703125" style="1" customWidth="1"/>
    <col min="15552" max="15802" width="9.140625" style="1"/>
    <col min="15803" max="15807" width="18.5703125" style="1" customWidth="1"/>
    <col min="15808" max="16058" width="9.140625" style="1"/>
    <col min="16059" max="16063" width="18.5703125" style="1" customWidth="1"/>
    <col min="16064" max="16384" width="9.140625" style="1"/>
  </cols>
  <sheetData>
    <row r="1" spans="1:4" ht="15" customHeight="1" x14ac:dyDescent="0.25">
      <c r="A1" s="100" t="s">
        <v>0</v>
      </c>
      <c r="B1" s="100"/>
      <c r="C1" s="100"/>
      <c r="D1" s="100"/>
    </row>
    <row r="2" spans="1:4" ht="15" customHeight="1" x14ac:dyDescent="0.25">
      <c r="A2" s="100" t="s">
        <v>154</v>
      </c>
      <c r="B2" s="100"/>
      <c r="C2" s="100"/>
      <c r="D2" s="100"/>
    </row>
    <row r="3" spans="1:4" ht="15" customHeight="1" x14ac:dyDescent="0.25">
      <c r="A3" s="101" t="s">
        <v>1</v>
      </c>
      <c r="B3" s="101"/>
      <c r="C3" s="101"/>
      <c r="D3" s="101"/>
    </row>
    <row r="4" spans="1:4" ht="15" customHeight="1" x14ac:dyDescent="0.25">
      <c r="A4" s="101" t="s">
        <v>99</v>
      </c>
      <c r="B4" s="101"/>
      <c r="C4" s="101"/>
      <c r="D4" s="101"/>
    </row>
    <row r="5" spans="1:4" ht="15" customHeight="1" x14ac:dyDescent="0.25">
      <c r="A5" s="101" t="s">
        <v>100</v>
      </c>
      <c r="B5" s="101"/>
      <c r="C5" s="101"/>
      <c r="D5" s="101"/>
    </row>
    <row r="6" spans="1:4" ht="8.25" customHeight="1" x14ac:dyDescent="0.2">
      <c r="A6" s="104" t="s">
        <v>122</v>
      </c>
      <c r="B6" s="104"/>
      <c r="C6" s="104"/>
      <c r="D6" s="104"/>
    </row>
    <row r="7" spans="1:4" ht="15" customHeight="1" x14ac:dyDescent="0.2">
      <c r="A7" s="104"/>
      <c r="B7" s="104"/>
      <c r="C7" s="104"/>
      <c r="D7" s="104"/>
    </row>
    <row r="8" spans="1:4" ht="23.25" customHeight="1" x14ac:dyDescent="0.2">
      <c r="A8" s="104"/>
      <c r="B8" s="104"/>
      <c r="C8" s="104"/>
      <c r="D8" s="104"/>
    </row>
    <row r="9" spans="1:4" ht="15" customHeight="1" x14ac:dyDescent="0.2">
      <c r="A9" s="103" t="s">
        <v>120</v>
      </c>
      <c r="B9" s="103"/>
      <c r="C9" s="103"/>
      <c r="D9" s="103"/>
    </row>
    <row r="10" spans="1:4" ht="9" customHeight="1" x14ac:dyDescent="0.2">
      <c r="A10" s="22"/>
      <c r="B10" s="22"/>
      <c r="C10" s="22"/>
      <c r="D10" s="22"/>
    </row>
    <row r="11" spans="1:4" ht="9" customHeight="1" x14ac:dyDescent="0.2">
      <c r="A11" s="99"/>
      <c r="B11" s="99"/>
      <c r="C11" s="99"/>
      <c r="D11" s="99"/>
    </row>
    <row r="12" spans="1:4" x14ac:dyDescent="0.2">
      <c r="A12" s="3" t="s">
        <v>43</v>
      </c>
      <c r="B12" s="20" t="s">
        <v>44</v>
      </c>
      <c r="C12" s="20" t="s">
        <v>45</v>
      </c>
      <c r="D12" s="20" t="s">
        <v>46</v>
      </c>
    </row>
    <row r="13" spans="1:4" ht="8.25" customHeight="1" x14ac:dyDescent="0.2"/>
    <row r="14" spans="1:4" s="5" customFormat="1" ht="12" customHeight="1" x14ac:dyDescent="0.2">
      <c r="A14" s="4" t="s">
        <v>6</v>
      </c>
      <c r="B14" s="15">
        <v>395000</v>
      </c>
      <c r="C14" s="15">
        <f>169725+161825</f>
        <v>331550</v>
      </c>
      <c r="D14" s="15">
        <f t="shared" ref="D14:D30" si="0">+B14+C14</f>
        <v>726550</v>
      </c>
    </row>
    <row r="15" spans="1:4" s="5" customFormat="1" ht="12" customHeight="1" x14ac:dyDescent="0.2">
      <c r="A15" s="4" t="s">
        <v>7</v>
      </c>
      <c r="B15" s="15">
        <v>410000</v>
      </c>
      <c r="C15" s="15">
        <f>161825+153625</f>
        <v>315450</v>
      </c>
      <c r="D15" s="15">
        <f t="shared" si="0"/>
        <v>725450</v>
      </c>
    </row>
    <row r="16" spans="1:4" s="5" customFormat="1" ht="12" customHeight="1" x14ac:dyDescent="0.2">
      <c r="A16" s="4" t="s">
        <v>8</v>
      </c>
      <c r="B16" s="15">
        <v>425000</v>
      </c>
      <c r="C16" s="15">
        <f>153625+145125</f>
        <v>298750</v>
      </c>
      <c r="D16" s="15">
        <f t="shared" si="0"/>
        <v>723750</v>
      </c>
    </row>
    <row r="17" spans="1:4" s="5" customFormat="1" ht="12" customHeight="1" x14ac:dyDescent="0.2">
      <c r="A17" s="4" t="s">
        <v>9</v>
      </c>
      <c r="B17" s="15">
        <v>445000</v>
      </c>
      <c r="C17" s="15">
        <f>145125+136225</f>
        <v>281350</v>
      </c>
      <c r="D17" s="15">
        <f t="shared" si="0"/>
        <v>726350</v>
      </c>
    </row>
    <row r="18" spans="1:4" s="5" customFormat="1" ht="12" customHeight="1" x14ac:dyDescent="0.2">
      <c r="A18" s="4" t="s">
        <v>12</v>
      </c>
      <c r="B18" s="15">
        <v>465000</v>
      </c>
      <c r="C18" s="15">
        <f>136225+126925</f>
        <v>263150</v>
      </c>
      <c r="D18" s="15">
        <f t="shared" si="0"/>
        <v>728150</v>
      </c>
    </row>
    <row r="19" spans="1:4" s="5" customFormat="1" ht="12" customHeight="1" x14ac:dyDescent="0.2">
      <c r="A19" s="4" t="s">
        <v>18</v>
      </c>
      <c r="B19" s="15">
        <v>480000</v>
      </c>
      <c r="C19" s="15">
        <f>126925+117325</f>
        <v>244250</v>
      </c>
      <c r="D19" s="15">
        <f t="shared" si="0"/>
        <v>724250</v>
      </c>
    </row>
    <row r="20" spans="1:4" s="5" customFormat="1" ht="12" customHeight="1" x14ac:dyDescent="0.2">
      <c r="A20" s="4" t="s">
        <v>19</v>
      </c>
      <c r="B20" s="15">
        <v>500000</v>
      </c>
      <c r="C20" s="15">
        <f>117325+107325</f>
        <v>224650</v>
      </c>
      <c r="D20" s="15">
        <f t="shared" si="0"/>
        <v>724650</v>
      </c>
    </row>
    <row r="21" spans="1:4" s="5" customFormat="1" ht="12" customHeight="1" x14ac:dyDescent="0.2">
      <c r="A21" s="4" t="s">
        <v>20</v>
      </c>
      <c r="B21" s="15">
        <v>520000</v>
      </c>
      <c r="C21" s="15">
        <f>107325+96925</f>
        <v>204250</v>
      </c>
      <c r="D21" s="15">
        <f t="shared" si="0"/>
        <v>724250</v>
      </c>
    </row>
    <row r="22" spans="1:4" s="5" customFormat="1" ht="12" customHeight="1" x14ac:dyDescent="0.2">
      <c r="A22" s="4" t="s">
        <v>21</v>
      </c>
      <c r="B22" s="15">
        <v>545000</v>
      </c>
      <c r="C22" s="15">
        <f>96925+86025</f>
        <v>182950</v>
      </c>
      <c r="D22" s="15">
        <f t="shared" si="0"/>
        <v>727950</v>
      </c>
    </row>
    <row r="23" spans="1:4" s="5" customFormat="1" ht="12" customHeight="1" x14ac:dyDescent="0.2">
      <c r="A23" s="4" t="s">
        <v>24</v>
      </c>
      <c r="B23" s="15">
        <v>565000</v>
      </c>
      <c r="C23" s="15">
        <f>86025+74725</f>
        <v>160750</v>
      </c>
      <c r="D23" s="15">
        <f t="shared" si="0"/>
        <v>725750</v>
      </c>
    </row>
    <row r="24" spans="1:4" s="5" customFormat="1" ht="12" customHeight="1" x14ac:dyDescent="0.2">
      <c r="A24" s="4" t="s">
        <v>25</v>
      </c>
      <c r="B24" s="15">
        <v>590000</v>
      </c>
      <c r="C24" s="15">
        <f>74725+62925</f>
        <v>137650</v>
      </c>
      <c r="D24" s="15">
        <f t="shared" si="0"/>
        <v>727650</v>
      </c>
    </row>
    <row r="25" spans="1:4" s="5" customFormat="1" ht="12" customHeight="1" x14ac:dyDescent="0.2">
      <c r="A25" s="4" t="s">
        <v>41</v>
      </c>
      <c r="B25" s="15">
        <v>615000</v>
      </c>
      <c r="C25" s="15">
        <f>62925+50625</f>
        <v>113550</v>
      </c>
      <c r="D25" s="15">
        <f t="shared" si="0"/>
        <v>728550</v>
      </c>
    </row>
    <row r="26" spans="1:4" s="5" customFormat="1" ht="12" customHeight="1" x14ac:dyDescent="0.2">
      <c r="A26" s="4" t="s">
        <v>49</v>
      </c>
      <c r="B26" s="15">
        <v>635000</v>
      </c>
      <c r="C26" s="15">
        <f>50625+41100</f>
        <v>91725</v>
      </c>
      <c r="D26" s="15">
        <f t="shared" si="0"/>
        <v>726725</v>
      </c>
    </row>
    <row r="27" spans="1:4" s="5" customFormat="1" ht="12" customHeight="1" x14ac:dyDescent="0.2">
      <c r="A27" s="4" t="s">
        <v>52</v>
      </c>
      <c r="B27" s="15">
        <v>655000</v>
      </c>
      <c r="C27" s="15">
        <f>41100+31275</f>
        <v>72375</v>
      </c>
      <c r="D27" s="15">
        <f t="shared" si="0"/>
        <v>727375</v>
      </c>
    </row>
    <row r="28" spans="1:4" s="5" customFormat="1" ht="12" customHeight="1" x14ac:dyDescent="0.2">
      <c r="A28" s="4" t="s">
        <v>75</v>
      </c>
      <c r="B28" s="15">
        <v>675000</v>
      </c>
      <c r="C28" s="15">
        <f>31275+21150</f>
        <v>52425</v>
      </c>
      <c r="D28" s="15">
        <f t="shared" si="0"/>
        <v>727425</v>
      </c>
    </row>
    <row r="29" spans="1:4" s="5" customFormat="1" ht="12" customHeight="1" x14ac:dyDescent="0.2">
      <c r="A29" s="4" t="s">
        <v>82</v>
      </c>
      <c r="B29" s="15">
        <v>695000</v>
      </c>
      <c r="C29" s="15">
        <f>21150+10725</f>
        <v>31875</v>
      </c>
      <c r="D29" s="15">
        <f t="shared" si="0"/>
        <v>726875</v>
      </c>
    </row>
    <row r="30" spans="1:4" s="5" customFormat="1" ht="12" customHeight="1" x14ac:dyDescent="0.2">
      <c r="A30" s="4" t="s">
        <v>95</v>
      </c>
      <c r="B30" s="15">
        <v>715000</v>
      </c>
      <c r="C30" s="15">
        <v>10725</v>
      </c>
      <c r="D30" s="15">
        <f t="shared" si="0"/>
        <v>725725</v>
      </c>
    </row>
    <row r="31" spans="1:4" x14ac:dyDescent="0.2">
      <c r="A31" s="6" t="s">
        <v>4</v>
      </c>
      <c r="B31" s="16">
        <f>SUM(B14:B30)</f>
        <v>9330000</v>
      </c>
      <c r="C31" s="16">
        <f>SUM(C14:C30)</f>
        <v>3017425</v>
      </c>
      <c r="D31" s="16">
        <f>SUM(D14:D30)</f>
        <v>12347425</v>
      </c>
    </row>
    <row r="32" spans="1:4" x14ac:dyDescent="0.2">
      <c r="A32" s="7"/>
      <c r="B32" s="17"/>
      <c r="C32" s="17"/>
      <c r="D32" s="17"/>
    </row>
    <row r="33" spans="1:4" x14ac:dyDescent="0.2">
      <c r="A33" s="7"/>
      <c r="B33" s="17"/>
      <c r="C33" s="17"/>
      <c r="D33" s="17"/>
    </row>
    <row r="34" spans="1:4" x14ac:dyDescent="0.2">
      <c r="A34" s="7"/>
      <c r="B34" s="17"/>
      <c r="C34" s="17"/>
      <c r="D34" s="17"/>
    </row>
    <row r="35" spans="1:4" x14ac:dyDescent="0.2">
      <c r="A35" s="7"/>
      <c r="B35" s="17"/>
      <c r="C35" s="17"/>
      <c r="D35" s="17"/>
    </row>
    <row r="36" spans="1:4" x14ac:dyDescent="0.2">
      <c r="A36" s="7"/>
      <c r="B36" s="17"/>
      <c r="C36" s="17"/>
      <c r="D36" s="17"/>
    </row>
    <row r="37" spans="1:4" x14ac:dyDescent="0.2">
      <c r="A37" s="7"/>
      <c r="B37" s="17"/>
      <c r="C37" s="17"/>
      <c r="D37" s="17"/>
    </row>
    <row r="38" spans="1:4" x14ac:dyDescent="0.2">
      <c r="A38" s="7"/>
      <c r="B38" s="17"/>
      <c r="C38" s="17"/>
      <c r="D38" s="17"/>
    </row>
    <row r="39" spans="1:4" x14ac:dyDescent="0.2">
      <c r="A39" s="7"/>
      <c r="B39" s="17"/>
      <c r="C39" s="17"/>
      <c r="D39" s="17"/>
    </row>
    <row r="40" spans="1:4" x14ac:dyDescent="0.2">
      <c r="B40" s="17"/>
      <c r="C40" s="17"/>
      <c r="D40" s="17"/>
    </row>
    <row r="41" spans="1:4" x14ac:dyDescent="0.2">
      <c r="B41" s="17"/>
      <c r="C41" s="17"/>
      <c r="D41" s="17"/>
    </row>
    <row r="42" spans="1:4" x14ac:dyDescent="0.2">
      <c r="B42" s="17"/>
      <c r="C42" s="17"/>
      <c r="D42" s="17"/>
    </row>
    <row r="43" spans="1:4" x14ac:dyDescent="0.2">
      <c r="B43" s="17"/>
      <c r="C43" s="17"/>
      <c r="D43" s="17"/>
    </row>
    <row r="44" spans="1:4" x14ac:dyDescent="0.2">
      <c r="B44" s="17"/>
      <c r="C44" s="17"/>
      <c r="D44" s="17"/>
    </row>
    <row r="45" spans="1:4" x14ac:dyDescent="0.2">
      <c r="B45" s="17"/>
      <c r="C45" s="17"/>
      <c r="D45" s="17"/>
    </row>
    <row r="46" spans="1:4" x14ac:dyDescent="0.2">
      <c r="B46" s="17"/>
      <c r="C46" s="17"/>
      <c r="D46" s="17"/>
    </row>
    <row r="47" spans="1:4" x14ac:dyDescent="0.2">
      <c r="B47" s="17"/>
      <c r="C47" s="17"/>
      <c r="D47" s="17"/>
    </row>
    <row r="48" spans="1:4" x14ac:dyDescent="0.2">
      <c r="B48" s="17"/>
      <c r="C48" s="17"/>
      <c r="D48" s="17"/>
    </row>
    <row r="49" spans="2:4" x14ac:dyDescent="0.2">
      <c r="B49" s="17"/>
      <c r="C49" s="17"/>
      <c r="D49" s="17"/>
    </row>
  </sheetData>
  <mergeCells count="8">
    <mergeCell ref="A11:D11"/>
    <mergeCell ref="A1:D1"/>
    <mergeCell ref="A2:D2"/>
    <mergeCell ref="A3:D3"/>
    <mergeCell ref="A4:D4"/>
    <mergeCell ref="A5:D5"/>
    <mergeCell ref="A6:D8"/>
    <mergeCell ref="A9:D9"/>
  </mergeCells>
  <pageMargins left="0.75" right="0.4" top="0.75" bottom="0.75" header="0.5" footer="0.5"/>
  <pageSetup scale="90" firstPageNumber="0"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31"/>
  <sheetViews>
    <sheetView workbookViewId="0">
      <selection activeCell="H34" sqref="H34"/>
    </sheetView>
  </sheetViews>
  <sheetFormatPr defaultRowHeight="12.75" x14ac:dyDescent="0.2"/>
  <cols>
    <col min="1" max="4" width="25" style="12" customWidth="1"/>
    <col min="5" max="254" width="9.140625" style="1"/>
    <col min="255" max="259" width="18.5703125" style="1" customWidth="1"/>
    <col min="260" max="510" width="9.140625" style="1"/>
    <col min="511" max="515" width="18.5703125" style="1" customWidth="1"/>
    <col min="516" max="766" width="9.140625" style="1"/>
    <col min="767" max="771" width="18.5703125" style="1" customWidth="1"/>
    <col min="772" max="1022" width="9.140625" style="1"/>
    <col min="1023" max="1027" width="18.5703125" style="1" customWidth="1"/>
    <col min="1028" max="1278" width="9.140625" style="1"/>
    <col min="1279" max="1283" width="18.5703125" style="1" customWidth="1"/>
    <col min="1284" max="1534" width="9.140625" style="1"/>
    <col min="1535" max="1539" width="18.5703125" style="1" customWidth="1"/>
    <col min="1540" max="1790" width="9.140625" style="1"/>
    <col min="1791" max="1795" width="18.5703125" style="1" customWidth="1"/>
    <col min="1796" max="2046" width="9.140625" style="1"/>
    <col min="2047" max="2051" width="18.5703125" style="1" customWidth="1"/>
    <col min="2052" max="2302" width="9.140625" style="1"/>
    <col min="2303" max="2307" width="18.5703125" style="1" customWidth="1"/>
    <col min="2308" max="2558" width="9.140625" style="1"/>
    <col min="2559" max="2563" width="18.5703125" style="1" customWidth="1"/>
    <col min="2564" max="2814" width="9.140625" style="1"/>
    <col min="2815" max="2819" width="18.5703125" style="1" customWidth="1"/>
    <col min="2820" max="3070" width="9.140625" style="1"/>
    <col min="3071" max="3075" width="18.5703125" style="1" customWidth="1"/>
    <col min="3076" max="3326" width="9.140625" style="1"/>
    <col min="3327" max="3331" width="18.5703125" style="1" customWidth="1"/>
    <col min="3332" max="3582" width="9.140625" style="1"/>
    <col min="3583" max="3587" width="18.5703125" style="1" customWidth="1"/>
    <col min="3588" max="3838" width="9.140625" style="1"/>
    <col min="3839" max="3843" width="18.5703125" style="1" customWidth="1"/>
    <col min="3844" max="4094" width="9.140625" style="1"/>
    <col min="4095" max="4099" width="18.5703125" style="1" customWidth="1"/>
    <col min="4100" max="4350" width="9.140625" style="1"/>
    <col min="4351" max="4355" width="18.5703125" style="1" customWidth="1"/>
    <col min="4356" max="4606" width="9.140625" style="1"/>
    <col min="4607" max="4611" width="18.5703125" style="1" customWidth="1"/>
    <col min="4612" max="4862" width="9.140625" style="1"/>
    <col min="4863" max="4867" width="18.5703125" style="1" customWidth="1"/>
    <col min="4868" max="5118" width="9.140625" style="1"/>
    <col min="5119" max="5123" width="18.5703125" style="1" customWidth="1"/>
    <col min="5124" max="5374" width="9.140625" style="1"/>
    <col min="5375" max="5379" width="18.5703125" style="1" customWidth="1"/>
    <col min="5380" max="5630" width="9.140625" style="1"/>
    <col min="5631" max="5635" width="18.5703125" style="1" customWidth="1"/>
    <col min="5636" max="5886" width="9.140625" style="1"/>
    <col min="5887" max="5891" width="18.5703125" style="1" customWidth="1"/>
    <col min="5892" max="6142" width="9.140625" style="1"/>
    <col min="6143" max="6147" width="18.5703125" style="1" customWidth="1"/>
    <col min="6148" max="6398" width="9.140625" style="1"/>
    <col min="6399" max="6403" width="18.5703125" style="1" customWidth="1"/>
    <col min="6404" max="6654" width="9.140625" style="1"/>
    <col min="6655" max="6659" width="18.5703125" style="1" customWidth="1"/>
    <col min="6660" max="6910" width="9.140625" style="1"/>
    <col min="6911" max="6915" width="18.5703125" style="1" customWidth="1"/>
    <col min="6916" max="7166" width="9.140625" style="1"/>
    <col min="7167" max="7171" width="18.5703125" style="1" customWidth="1"/>
    <col min="7172" max="7422" width="9.140625" style="1"/>
    <col min="7423" max="7427" width="18.5703125" style="1" customWidth="1"/>
    <col min="7428" max="7678" width="9.140625" style="1"/>
    <col min="7679" max="7683" width="18.5703125" style="1" customWidth="1"/>
    <col min="7684" max="7934" width="9.140625" style="1"/>
    <col min="7935" max="7939" width="18.5703125" style="1" customWidth="1"/>
    <col min="7940" max="8190" width="9.140625" style="1"/>
    <col min="8191" max="8195" width="18.5703125" style="1" customWidth="1"/>
    <col min="8196" max="8446" width="9.140625" style="1"/>
    <col min="8447" max="8451" width="18.5703125" style="1" customWidth="1"/>
    <col min="8452" max="8702" width="9.140625" style="1"/>
    <col min="8703" max="8707" width="18.5703125" style="1" customWidth="1"/>
    <col min="8708" max="8958" width="9.140625" style="1"/>
    <col min="8959" max="8963" width="18.5703125" style="1" customWidth="1"/>
    <col min="8964" max="9214" width="9.140625" style="1"/>
    <col min="9215" max="9219" width="18.5703125" style="1" customWidth="1"/>
    <col min="9220" max="9470" width="9.140625" style="1"/>
    <col min="9471" max="9475" width="18.5703125" style="1" customWidth="1"/>
    <col min="9476" max="9726" width="9.140625" style="1"/>
    <col min="9727" max="9731" width="18.5703125" style="1" customWidth="1"/>
    <col min="9732" max="9982" width="9.140625" style="1"/>
    <col min="9983" max="9987" width="18.5703125" style="1" customWidth="1"/>
    <col min="9988" max="10238" width="9.140625" style="1"/>
    <col min="10239" max="10243" width="18.5703125" style="1" customWidth="1"/>
    <col min="10244" max="10494" width="9.140625" style="1"/>
    <col min="10495" max="10499" width="18.5703125" style="1" customWidth="1"/>
    <col min="10500" max="10750" width="9.140625" style="1"/>
    <col min="10751" max="10755" width="18.5703125" style="1" customWidth="1"/>
    <col min="10756" max="11006" width="9.140625" style="1"/>
    <col min="11007" max="11011" width="18.5703125" style="1" customWidth="1"/>
    <col min="11012" max="11262" width="9.140625" style="1"/>
    <col min="11263" max="11267" width="18.5703125" style="1" customWidth="1"/>
    <col min="11268" max="11518" width="9.140625" style="1"/>
    <col min="11519" max="11523" width="18.5703125" style="1" customWidth="1"/>
    <col min="11524" max="11774" width="9.140625" style="1"/>
    <col min="11775" max="11779" width="18.5703125" style="1" customWidth="1"/>
    <col min="11780" max="12030" width="9.140625" style="1"/>
    <col min="12031" max="12035" width="18.5703125" style="1" customWidth="1"/>
    <col min="12036" max="12286" width="9.140625" style="1"/>
    <col min="12287" max="12291" width="18.5703125" style="1" customWidth="1"/>
    <col min="12292" max="12542" width="9.140625" style="1"/>
    <col min="12543" max="12547" width="18.5703125" style="1" customWidth="1"/>
    <col min="12548" max="12798" width="9.140625" style="1"/>
    <col min="12799" max="12803" width="18.5703125" style="1" customWidth="1"/>
    <col min="12804" max="13054" width="9.140625" style="1"/>
    <col min="13055" max="13059" width="18.5703125" style="1" customWidth="1"/>
    <col min="13060" max="13310" width="9.140625" style="1"/>
    <col min="13311" max="13315" width="18.5703125" style="1" customWidth="1"/>
    <col min="13316" max="13566" width="9.140625" style="1"/>
    <col min="13567" max="13571" width="18.5703125" style="1" customWidth="1"/>
    <col min="13572" max="13822" width="9.140625" style="1"/>
    <col min="13823" max="13827" width="18.5703125" style="1" customWidth="1"/>
    <col min="13828" max="14078" width="9.140625" style="1"/>
    <col min="14079" max="14083" width="18.5703125" style="1" customWidth="1"/>
    <col min="14084" max="14334" width="9.140625" style="1"/>
    <col min="14335" max="14339" width="18.5703125" style="1" customWidth="1"/>
    <col min="14340" max="14590" width="9.140625" style="1"/>
    <col min="14591" max="14595" width="18.5703125" style="1" customWidth="1"/>
    <col min="14596" max="14846" width="9.140625" style="1"/>
    <col min="14847" max="14851" width="18.5703125" style="1" customWidth="1"/>
    <col min="14852" max="15102" width="9.140625" style="1"/>
    <col min="15103" max="15107" width="18.5703125" style="1" customWidth="1"/>
    <col min="15108" max="15358" width="9.140625" style="1"/>
    <col min="15359" max="15363" width="18.5703125" style="1" customWidth="1"/>
    <col min="15364" max="15614" width="9.140625" style="1"/>
    <col min="15615" max="15619" width="18.5703125" style="1" customWidth="1"/>
    <col min="15620" max="15870" width="9.140625" style="1"/>
    <col min="15871" max="15875" width="18.5703125" style="1" customWidth="1"/>
    <col min="15876" max="16126" width="9.140625" style="1"/>
    <col min="16127" max="16131" width="18.5703125" style="1" customWidth="1"/>
    <col min="16132" max="16384" width="9.140625" style="1"/>
  </cols>
  <sheetData>
    <row r="1" spans="1:4" ht="15" customHeight="1" x14ac:dyDescent="0.25">
      <c r="A1" s="100" t="s">
        <v>0</v>
      </c>
      <c r="B1" s="100"/>
      <c r="C1" s="100"/>
      <c r="D1" s="100"/>
    </row>
    <row r="2" spans="1:4" ht="15" customHeight="1" x14ac:dyDescent="0.25">
      <c r="A2" s="100" t="s">
        <v>154</v>
      </c>
      <c r="B2" s="100"/>
      <c r="C2" s="100"/>
      <c r="D2" s="100"/>
    </row>
    <row r="3" spans="1:4" ht="15" customHeight="1" x14ac:dyDescent="0.25">
      <c r="A3" s="101" t="s">
        <v>1</v>
      </c>
      <c r="B3" s="101"/>
      <c r="C3" s="101"/>
      <c r="D3" s="101"/>
    </row>
    <row r="4" spans="1:4" ht="15.75" x14ac:dyDescent="0.25">
      <c r="A4" s="101" t="s">
        <v>139</v>
      </c>
      <c r="B4" s="101"/>
      <c r="C4" s="101"/>
      <c r="D4" s="101"/>
    </row>
    <row r="5" spans="1:4" ht="15.75" x14ac:dyDescent="0.25">
      <c r="A5" s="101" t="s">
        <v>140</v>
      </c>
      <c r="B5" s="101"/>
      <c r="C5" s="101"/>
      <c r="D5" s="101"/>
    </row>
    <row r="6" spans="1:4" ht="15" customHeight="1" x14ac:dyDescent="0.25">
      <c r="A6" s="101" t="s">
        <v>26</v>
      </c>
      <c r="B6" s="101"/>
      <c r="C6" s="101"/>
      <c r="D6" s="101"/>
    </row>
    <row r="7" spans="1:4" ht="15" customHeight="1" x14ac:dyDescent="0.2">
      <c r="A7" s="102" t="s">
        <v>27</v>
      </c>
      <c r="B7" s="102"/>
      <c r="C7" s="102"/>
      <c r="D7" s="102"/>
    </row>
    <row r="8" spans="1:4" ht="15" customHeight="1" x14ac:dyDescent="0.2">
      <c r="A8" s="102"/>
      <c r="B8" s="102"/>
      <c r="C8" s="102"/>
      <c r="D8" s="102"/>
    </row>
    <row r="9" spans="1:4" ht="15" customHeight="1" x14ac:dyDescent="0.2">
      <c r="A9" s="103" t="s">
        <v>119</v>
      </c>
      <c r="B9" s="103"/>
      <c r="C9" s="103"/>
      <c r="D9" s="103"/>
    </row>
    <row r="10" spans="1:4" ht="9" customHeight="1" x14ac:dyDescent="0.25">
      <c r="A10" s="2"/>
      <c r="B10" s="2"/>
      <c r="C10" s="2"/>
      <c r="D10" s="2"/>
    </row>
    <row r="11" spans="1:4" ht="9" customHeight="1" x14ac:dyDescent="0.2">
      <c r="A11" s="99"/>
      <c r="B11" s="99"/>
      <c r="C11" s="99"/>
      <c r="D11" s="99"/>
    </row>
    <row r="12" spans="1:4" x14ac:dyDescent="0.2">
      <c r="A12" s="3" t="s">
        <v>43</v>
      </c>
      <c r="B12" s="20" t="s">
        <v>44</v>
      </c>
      <c r="C12" s="20" t="s">
        <v>45</v>
      </c>
      <c r="D12" s="20" t="s">
        <v>46</v>
      </c>
    </row>
    <row r="13" spans="1:4" ht="5.25" customHeight="1" x14ac:dyDescent="0.2"/>
    <row r="14" spans="1:4" s="5" customFormat="1" ht="12" x14ac:dyDescent="0.2">
      <c r="A14" s="4" t="s">
        <v>6</v>
      </c>
      <c r="B14" s="15">
        <v>255960</v>
      </c>
      <c r="C14" s="15">
        <v>38021.14</v>
      </c>
      <c r="D14" s="15">
        <f t="shared" ref="D14:D19" si="0">+B14+C14</f>
        <v>293981.14</v>
      </c>
    </row>
    <row r="15" spans="1:4" s="5" customFormat="1" ht="12" x14ac:dyDescent="0.2">
      <c r="A15" s="4" t="s">
        <v>7</v>
      </c>
      <c r="B15" s="15">
        <v>262440</v>
      </c>
      <c r="C15" s="15">
        <v>32410.5</v>
      </c>
      <c r="D15" s="15">
        <f t="shared" si="0"/>
        <v>294850.5</v>
      </c>
    </row>
    <row r="16" spans="1:4" s="5" customFormat="1" ht="12" x14ac:dyDescent="0.2">
      <c r="A16" s="4" t="s">
        <v>8</v>
      </c>
      <c r="B16" s="15">
        <v>268920</v>
      </c>
      <c r="C16" s="15">
        <v>26424.240000000002</v>
      </c>
      <c r="D16" s="15">
        <f t="shared" si="0"/>
        <v>295344.24</v>
      </c>
    </row>
    <row r="17" spans="1:4" s="5" customFormat="1" ht="12" x14ac:dyDescent="0.2">
      <c r="A17" s="4" t="s">
        <v>9</v>
      </c>
      <c r="B17" s="15">
        <v>275400</v>
      </c>
      <c r="C17" s="15">
        <v>20069.66</v>
      </c>
      <c r="D17" s="15">
        <f t="shared" si="0"/>
        <v>295469.65999999997</v>
      </c>
    </row>
    <row r="18" spans="1:4" s="5" customFormat="1" ht="12" x14ac:dyDescent="0.2">
      <c r="A18" s="4" t="s">
        <v>12</v>
      </c>
      <c r="B18" s="15">
        <v>281880</v>
      </c>
      <c r="C18" s="15">
        <v>13358.16</v>
      </c>
      <c r="D18" s="15">
        <f t="shared" si="0"/>
        <v>295238.15999999997</v>
      </c>
    </row>
    <row r="19" spans="1:4" s="5" customFormat="1" ht="12" x14ac:dyDescent="0.2">
      <c r="A19" s="4" t="s">
        <v>18</v>
      </c>
      <c r="B19" s="15">
        <v>255960</v>
      </c>
      <c r="C19" s="15">
        <v>6347.8</v>
      </c>
      <c r="D19" s="15">
        <f t="shared" si="0"/>
        <v>262307.8</v>
      </c>
    </row>
    <row r="20" spans="1:4" s="5" customFormat="1" ht="12" x14ac:dyDescent="0.2">
      <c r="A20" s="6" t="s">
        <v>4</v>
      </c>
      <c r="B20" s="16">
        <f>SUM(B13:B19)</f>
        <v>1600560</v>
      </c>
      <c r="C20" s="16">
        <f>SUM(C13:C19)</f>
        <v>136631.5</v>
      </c>
      <c r="D20" s="16">
        <f>SUM(D13:D19)</f>
        <v>1737191.5</v>
      </c>
    </row>
    <row r="21" spans="1:4" x14ac:dyDescent="0.2">
      <c r="A21" s="7"/>
      <c r="C21" s="9"/>
      <c r="D21" s="9"/>
    </row>
    <row r="22" spans="1:4" x14ac:dyDescent="0.2">
      <c r="A22" s="7"/>
      <c r="B22" s="9"/>
      <c r="C22" s="9"/>
      <c r="D22" s="9"/>
    </row>
    <row r="23" spans="1:4" x14ac:dyDescent="0.2">
      <c r="A23" s="7"/>
      <c r="B23" s="9"/>
      <c r="C23" s="9"/>
      <c r="D23" s="9"/>
    </row>
    <row r="24" spans="1:4" x14ac:dyDescent="0.2">
      <c r="B24" s="17"/>
      <c r="C24" s="17"/>
      <c r="D24" s="17"/>
    </row>
    <row r="25" spans="1:4" x14ac:dyDescent="0.2">
      <c r="A25" s="1"/>
      <c r="B25" s="17"/>
      <c r="C25" s="17"/>
      <c r="D25" s="17"/>
    </row>
    <row r="26" spans="1:4" x14ac:dyDescent="0.2">
      <c r="A26" s="1"/>
      <c r="B26" s="17"/>
      <c r="C26" s="17"/>
      <c r="D26" s="17"/>
    </row>
    <row r="27" spans="1:4" x14ac:dyDescent="0.2">
      <c r="A27" s="1"/>
      <c r="B27" s="17"/>
      <c r="C27" s="17"/>
      <c r="D27" s="17"/>
    </row>
    <row r="28" spans="1:4" x14ac:dyDescent="0.2">
      <c r="A28" s="1"/>
      <c r="B28" s="17"/>
      <c r="C28" s="17"/>
      <c r="D28" s="17"/>
    </row>
    <row r="29" spans="1:4" x14ac:dyDescent="0.2">
      <c r="A29" s="1"/>
      <c r="B29" s="17"/>
      <c r="C29" s="17"/>
      <c r="D29" s="17"/>
    </row>
    <row r="30" spans="1:4" x14ac:dyDescent="0.2">
      <c r="A30" s="1"/>
      <c r="B30" s="17"/>
      <c r="C30" s="17"/>
      <c r="D30" s="17"/>
    </row>
    <row r="31" spans="1:4" x14ac:dyDescent="0.2">
      <c r="A31" s="1"/>
      <c r="B31" s="17"/>
      <c r="C31" s="17"/>
      <c r="D31" s="17"/>
    </row>
  </sheetData>
  <mergeCells count="9">
    <mergeCell ref="A11:D11"/>
    <mergeCell ref="A1:D1"/>
    <mergeCell ref="A2:D2"/>
    <mergeCell ref="A3:D3"/>
    <mergeCell ref="A4:D4"/>
    <mergeCell ref="A6:D6"/>
    <mergeCell ref="A7:D8"/>
    <mergeCell ref="A9:D9"/>
    <mergeCell ref="A5:D5"/>
  </mergeCells>
  <pageMargins left="0.75" right="0.4" top="0.75" bottom="0.75" header="0.5" footer="0.5"/>
  <pageSetup scale="90" firstPageNumber="0" orientation="portrait" useFirstPageNumber="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7DC54-DC69-4393-B7BB-2BD3D88507E2}">
  <dimension ref="A1:L50"/>
  <sheetViews>
    <sheetView workbookViewId="0">
      <selection activeCell="G38" sqref="G38"/>
    </sheetView>
  </sheetViews>
  <sheetFormatPr defaultRowHeight="12.75" x14ac:dyDescent="0.2"/>
  <cols>
    <col min="1" max="1" width="25" style="12" customWidth="1"/>
    <col min="2" max="2" width="11.28515625" style="12" hidden="1" customWidth="1"/>
    <col min="3" max="3" width="12.85546875" style="12" hidden="1" customWidth="1"/>
    <col min="4" max="4" width="25" style="12" customWidth="1"/>
    <col min="5" max="6" width="12.28515625" style="12" hidden="1" customWidth="1"/>
    <col min="7" max="8" width="25" style="12" customWidth="1"/>
    <col min="9" max="9" width="9.140625" style="1"/>
    <col min="10" max="10" width="11" style="1" hidden="1" customWidth="1"/>
    <col min="11" max="13" width="9.140625" style="1"/>
    <col min="14" max="14" width="0" style="1" hidden="1" customWidth="1"/>
    <col min="15" max="258" width="9.140625" style="1"/>
    <col min="259" max="263" width="18.5703125" style="1" customWidth="1"/>
    <col min="264" max="514" width="9.140625" style="1"/>
    <col min="515" max="519" width="18.5703125" style="1" customWidth="1"/>
    <col min="520" max="770" width="9.140625" style="1"/>
    <col min="771" max="775" width="18.5703125" style="1" customWidth="1"/>
    <col min="776" max="1026" width="9.140625" style="1"/>
    <col min="1027" max="1031" width="18.5703125" style="1" customWidth="1"/>
    <col min="1032" max="1282" width="9.140625" style="1"/>
    <col min="1283" max="1287" width="18.5703125" style="1" customWidth="1"/>
    <col min="1288" max="1538" width="9.140625" style="1"/>
    <col min="1539" max="1543" width="18.5703125" style="1" customWidth="1"/>
    <col min="1544" max="1794" width="9.140625" style="1"/>
    <col min="1795" max="1799" width="18.5703125" style="1" customWidth="1"/>
    <col min="1800" max="2050" width="9.140625" style="1"/>
    <col min="2051" max="2055" width="18.5703125" style="1" customWidth="1"/>
    <col min="2056" max="2306" width="9.140625" style="1"/>
    <col min="2307" max="2311" width="18.5703125" style="1" customWidth="1"/>
    <col min="2312" max="2562" width="9.140625" style="1"/>
    <col min="2563" max="2567" width="18.5703125" style="1" customWidth="1"/>
    <col min="2568" max="2818" width="9.140625" style="1"/>
    <col min="2819" max="2823" width="18.5703125" style="1" customWidth="1"/>
    <col min="2824" max="3074" width="9.140625" style="1"/>
    <col min="3075" max="3079" width="18.5703125" style="1" customWidth="1"/>
    <col min="3080" max="3330" width="9.140625" style="1"/>
    <col min="3331" max="3335" width="18.5703125" style="1" customWidth="1"/>
    <col min="3336" max="3586" width="9.140625" style="1"/>
    <col min="3587" max="3591" width="18.5703125" style="1" customWidth="1"/>
    <col min="3592" max="3842" width="9.140625" style="1"/>
    <col min="3843" max="3847" width="18.5703125" style="1" customWidth="1"/>
    <col min="3848" max="4098" width="9.140625" style="1"/>
    <col min="4099" max="4103" width="18.5703125" style="1" customWidth="1"/>
    <col min="4104" max="4354" width="9.140625" style="1"/>
    <col min="4355" max="4359" width="18.5703125" style="1" customWidth="1"/>
    <col min="4360" max="4610" width="9.140625" style="1"/>
    <col min="4611" max="4615" width="18.5703125" style="1" customWidth="1"/>
    <col min="4616" max="4866" width="9.140625" style="1"/>
    <col min="4867" max="4871" width="18.5703125" style="1" customWidth="1"/>
    <col min="4872" max="5122" width="9.140625" style="1"/>
    <col min="5123" max="5127" width="18.5703125" style="1" customWidth="1"/>
    <col min="5128" max="5378" width="9.140625" style="1"/>
    <col min="5379" max="5383" width="18.5703125" style="1" customWidth="1"/>
    <col min="5384" max="5634" width="9.140625" style="1"/>
    <col min="5635" max="5639" width="18.5703125" style="1" customWidth="1"/>
    <col min="5640" max="5890" width="9.140625" style="1"/>
    <col min="5891" max="5895" width="18.5703125" style="1" customWidth="1"/>
    <col min="5896" max="6146" width="9.140625" style="1"/>
    <col min="6147" max="6151" width="18.5703125" style="1" customWidth="1"/>
    <col min="6152" max="6402" width="9.140625" style="1"/>
    <col min="6403" max="6407" width="18.5703125" style="1" customWidth="1"/>
    <col min="6408" max="6658" width="9.140625" style="1"/>
    <col min="6659" max="6663" width="18.5703125" style="1" customWidth="1"/>
    <col min="6664" max="6914" width="9.140625" style="1"/>
    <col min="6915" max="6919" width="18.5703125" style="1" customWidth="1"/>
    <col min="6920" max="7170" width="9.140625" style="1"/>
    <col min="7171" max="7175" width="18.5703125" style="1" customWidth="1"/>
    <col min="7176" max="7426" width="9.140625" style="1"/>
    <col min="7427" max="7431" width="18.5703125" style="1" customWidth="1"/>
    <col min="7432" max="7682" width="9.140625" style="1"/>
    <col min="7683" max="7687" width="18.5703125" style="1" customWidth="1"/>
    <col min="7688" max="7938" width="9.140625" style="1"/>
    <col min="7939" max="7943" width="18.5703125" style="1" customWidth="1"/>
    <col min="7944" max="8194" width="9.140625" style="1"/>
    <col min="8195" max="8199" width="18.5703125" style="1" customWidth="1"/>
    <col min="8200" max="8450" width="9.140625" style="1"/>
    <col min="8451" max="8455" width="18.5703125" style="1" customWidth="1"/>
    <col min="8456" max="8706" width="9.140625" style="1"/>
    <col min="8707" max="8711" width="18.5703125" style="1" customWidth="1"/>
    <col min="8712" max="8962" width="9.140625" style="1"/>
    <col min="8963" max="8967" width="18.5703125" style="1" customWidth="1"/>
    <col min="8968" max="9218" width="9.140625" style="1"/>
    <col min="9219" max="9223" width="18.5703125" style="1" customWidth="1"/>
    <col min="9224" max="9474" width="9.140625" style="1"/>
    <col min="9475" max="9479" width="18.5703125" style="1" customWidth="1"/>
    <col min="9480" max="9730" width="9.140625" style="1"/>
    <col min="9731" max="9735" width="18.5703125" style="1" customWidth="1"/>
    <col min="9736" max="9986" width="9.140625" style="1"/>
    <col min="9987" max="9991" width="18.5703125" style="1" customWidth="1"/>
    <col min="9992" max="10242" width="9.140625" style="1"/>
    <col min="10243" max="10247" width="18.5703125" style="1" customWidth="1"/>
    <col min="10248" max="10498" width="9.140625" style="1"/>
    <col min="10499" max="10503" width="18.5703125" style="1" customWidth="1"/>
    <col min="10504" max="10754" width="9.140625" style="1"/>
    <col min="10755" max="10759" width="18.5703125" style="1" customWidth="1"/>
    <col min="10760" max="11010" width="9.140625" style="1"/>
    <col min="11011" max="11015" width="18.5703125" style="1" customWidth="1"/>
    <col min="11016" max="11266" width="9.140625" style="1"/>
    <col min="11267" max="11271" width="18.5703125" style="1" customWidth="1"/>
    <col min="11272" max="11522" width="9.140625" style="1"/>
    <col min="11523" max="11527" width="18.5703125" style="1" customWidth="1"/>
    <col min="11528" max="11778" width="9.140625" style="1"/>
    <col min="11779" max="11783" width="18.5703125" style="1" customWidth="1"/>
    <col min="11784" max="12034" width="9.140625" style="1"/>
    <col min="12035" max="12039" width="18.5703125" style="1" customWidth="1"/>
    <col min="12040" max="12290" width="9.140625" style="1"/>
    <col min="12291" max="12295" width="18.5703125" style="1" customWidth="1"/>
    <col min="12296" max="12546" width="9.140625" style="1"/>
    <col min="12547" max="12551" width="18.5703125" style="1" customWidth="1"/>
    <col min="12552" max="12802" width="9.140625" style="1"/>
    <col min="12803" max="12807" width="18.5703125" style="1" customWidth="1"/>
    <col min="12808" max="13058" width="9.140625" style="1"/>
    <col min="13059" max="13063" width="18.5703125" style="1" customWidth="1"/>
    <col min="13064" max="13314" width="9.140625" style="1"/>
    <col min="13315" max="13319" width="18.5703125" style="1" customWidth="1"/>
    <col min="13320" max="13570" width="9.140625" style="1"/>
    <col min="13571" max="13575" width="18.5703125" style="1" customWidth="1"/>
    <col min="13576" max="13826" width="9.140625" style="1"/>
    <col min="13827" max="13831" width="18.5703125" style="1" customWidth="1"/>
    <col min="13832" max="14082" width="9.140625" style="1"/>
    <col min="14083" max="14087" width="18.5703125" style="1" customWidth="1"/>
    <col min="14088" max="14338" width="9.140625" style="1"/>
    <col min="14339" max="14343" width="18.5703125" style="1" customWidth="1"/>
    <col min="14344" max="14594" width="9.140625" style="1"/>
    <col min="14595" max="14599" width="18.5703125" style="1" customWidth="1"/>
    <col min="14600" max="14850" width="9.140625" style="1"/>
    <col min="14851" max="14855" width="18.5703125" style="1" customWidth="1"/>
    <col min="14856" max="15106" width="9.140625" style="1"/>
    <col min="15107" max="15111" width="18.5703125" style="1" customWidth="1"/>
    <col min="15112" max="15362" width="9.140625" style="1"/>
    <col min="15363" max="15367" width="18.5703125" style="1" customWidth="1"/>
    <col min="15368" max="15618" width="9.140625" style="1"/>
    <col min="15619" max="15623" width="18.5703125" style="1" customWidth="1"/>
    <col min="15624" max="15874" width="9.140625" style="1"/>
    <col min="15875" max="15879" width="18.5703125" style="1" customWidth="1"/>
    <col min="15880" max="16130" width="9.140625" style="1"/>
    <col min="16131" max="16135" width="18.5703125" style="1" customWidth="1"/>
    <col min="16136" max="16384" width="9.140625" style="1"/>
  </cols>
  <sheetData>
    <row r="1" spans="1:12" ht="15" customHeight="1" x14ac:dyDescent="0.25">
      <c r="A1" s="100" t="s">
        <v>0</v>
      </c>
      <c r="B1" s="100"/>
      <c r="C1" s="100"/>
      <c r="D1" s="100"/>
      <c r="E1" s="100"/>
      <c r="F1" s="100"/>
      <c r="G1" s="100"/>
      <c r="H1" s="100"/>
    </row>
    <row r="2" spans="1:12" ht="15" customHeight="1" x14ac:dyDescent="0.25">
      <c r="A2" s="100" t="s">
        <v>154</v>
      </c>
      <c r="B2" s="100"/>
      <c r="C2" s="100"/>
      <c r="D2" s="100"/>
      <c r="E2" s="100"/>
      <c r="F2" s="100"/>
      <c r="G2" s="100"/>
      <c r="H2" s="100"/>
      <c r="I2" s="45"/>
      <c r="J2" s="45"/>
      <c r="K2" s="45"/>
      <c r="L2" s="45"/>
    </row>
    <row r="3" spans="1:12" ht="15" customHeight="1" x14ac:dyDescent="0.25">
      <c r="A3" s="101" t="s">
        <v>1</v>
      </c>
      <c r="B3" s="101"/>
      <c r="C3" s="101"/>
      <c r="D3" s="101"/>
      <c r="E3" s="101"/>
      <c r="F3" s="101"/>
      <c r="G3" s="101"/>
      <c r="H3" s="101"/>
    </row>
    <row r="4" spans="1:12" ht="15" customHeight="1" x14ac:dyDescent="0.25">
      <c r="A4" s="101" t="s">
        <v>131</v>
      </c>
      <c r="B4" s="101"/>
      <c r="C4" s="101"/>
      <c r="D4" s="101"/>
      <c r="E4" s="101"/>
      <c r="F4" s="101"/>
      <c r="G4" s="101"/>
      <c r="H4" s="101"/>
    </row>
    <row r="5" spans="1:12" ht="15" customHeight="1" x14ac:dyDescent="0.25">
      <c r="A5" s="101" t="s">
        <v>132</v>
      </c>
      <c r="B5" s="101"/>
      <c r="C5" s="101"/>
      <c r="D5" s="101"/>
      <c r="E5" s="101"/>
      <c r="F5" s="101"/>
      <c r="G5" s="101"/>
      <c r="H5" s="101"/>
    </row>
    <row r="6" spans="1:12" ht="8.25" customHeight="1" x14ac:dyDescent="0.2">
      <c r="A6" s="104" t="s">
        <v>135</v>
      </c>
      <c r="B6" s="104"/>
      <c r="C6" s="104"/>
      <c r="D6" s="104"/>
      <c r="E6" s="104"/>
      <c r="F6" s="104"/>
      <c r="G6" s="104"/>
      <c r="H6" s="104"/>
    </row>
    <row r="7" spans="1:12" ht="15" customHeight="1" x14ac:dyDescent="0.2">
      <c r="A7" s="104"/>
      <c r="B7" s="104"/>
      <c r="C7" s="104"/>
      <c r="D7" s="104"/>
      <c r="E7" s="104"/>
      <c r="F7" s="104"/>
      <c r="G7" s="104"/>
      <c r="H7" s="104"/>
    </row>
    <row r="8" spans="1:12" ht="23.25" customHeight="1" x14ac:dyDescent="0.2">
      <c r="A8" s="104"/>
      <c r="B8" s="104"/>
      <c r="C8" s="104"/>
      <c r="D8" s="104"/>
      <c r="E8" s="104"/>
      <c r="F8" s="104"/>
      <c r="G8" s="104"/>
      <c r="H8" s="104"/>
    </row>
    <row r="9" spans="1:12" ht="15" customHeight="1" x14ac:dyDescent="0.2">
      <c r="A9" s="103" t="s">
        <v>134</v>
      </c>
      <c r="B9" s="103"/>
      <c r="C9" s="103"/>
      <c r="D9" s="103"/>
      <c r="E9" s="103"/>
      <c r="F9" s="103"/>
      <c r="G9" s="103"/>
      <c r="H9" s="103"/>
    </row>
    <row r="10" spans="1:12" ht="9" customHeight="1" x14ac:dyDescent="0.2">
      <c r="A10" s="22"/>
      <c r="B10" s="22"/>
      <c r="C10" s="22"/>
      <c r="D10" s="22"/>
      <c r="E10" s="22"/>
      <c r="F10" s="22"/>
      <c r="G10" s="22"/>
      <c r="H10" s="22"/>
    </row>
    <row r="11" spans="1:12" ht="9" customHeight="1" x14ac:dyDescent="0.2">
      <c r="A11" s="99"/>
      <c r="B11" s="99"/>
      <c r="C11" s="99"/>
      <c r="D11" s="99"/>
      <c r="E11" s="99"/>
      <c r="F11" s="99"/>
      <c r="G11" s="99"/>
      <c r="H11" s="99"/>
    </row>
    <row r="12" spans="1:12" x14ac:dyDescent="0.2">
      <c r="A12" s="3" t="s">
        <v>43</v>
      </c>
      <c r="B12" s="34" t="s">
        <v>158</v>
      </c>
      <c r="C12" s="34" t="s">
        <v>159</v>
      </c>
      <c r="D12" s="20" t="s">
        <v>44</v>
      </c>
      <c r="E12" s="34" t="s">
        <v>160</v>
      </c>
      <c r="F12" s="34" t="s">
        <v>161</v>
      </c>
      <c r="G12" s="20" t="s">
        <v>45</v>
      </c>
      <c r="H12" s="20" t="s">
        <v>46</v>
      </c>
    </row>
    <row r="13" spans="1:12" ht="8.25" customHeight="1" x14ac:dyDescent="0.2">
      <c r="A13" s="4"/>
      <c r="B13" s="48"/>
      <c r="C13" s="48"/>
      <c r="D13" s="15"/>
      <c r="E13" s="36"/>
      <c r="F13" s="36"/>
      <c r="G13" s="15"/>
      <c r="H13" s="15"/>
    </row>
    <row r="14" spans="1:12" s="5" customFormat="1" ht="12" customHeight="1" x14ac:dyDescent="0.2">
      <c r="A14" s="4" t="s">
        <v>6</v>
      </c>
      <c r="B14" s="61">
        <v>100000</v>
      </c>
      <c r="C14" s="61">
        <v>690000</v>
      </c>
      <c r="D14" s="59">
        <f>B14+C14</f>
        <v>790000</v>
      </c>
      <c r="E14" s="63">
        <v>106375</v>
      </c>
      <c r="F14" s="63">
        <v>754875</v>
      </c>
      <c r="G14" s="15">
        <f>E14+F14</f>
        <v>861250</v>
      </c>
      <c r="H14" s="15">
        <f>+D14+G14</f>
        <v>1651250</v>
      </c>
      <c r="J14" s="47"/>
    </row>
    <row r="15" spans="1:12" s="5" customFormat="1" ht="12" customHeight="1" x14ac:dyDescent="0.2">
      <c r="A15" s="4" t="s">
        <v>7</v>
      </c>
      <c r="B15" s="61">
        <v>100000</v>
      </c>
      <c r="C15" s="61">
        <v>715000</v>
      </c>
      <c r="D15" s="59">
        <f t="shared" ref="D15:D31" si="0">B15+C15</f>
        <v>815000</v>
      </c>
      <c r="E15" s="63">
        <v>102875</v>
      </c>
      <c r="F15" s="63">
        <v>730287.5</v>
      </c>
      <c r="G15" s="15">
        <f t="shared" ref="G15:G31" si="1">E15+F15</f>
        <v>833162.5</v>
      </c>
      <c r="H15" s="15">
        <f t="shared" ref="H15:H31" si="2">+D15+G15</f>
        <v>1648162.5</v>
      </c>
      <c r="J15" s="5" t="s">
        <v>155</v>
      </c>
    </row>
    <row r="16" spans="1:12" s="5" customFormat="1" ht="12" customHeight="1" x14ac:dyDescent="0.2">
      <c r="A16" s="4" t="s">
        <v>8</v>
      </c>
      <c r="B16" s="61">
        <v>105000</v>
      </c>
      <c r="C16" s="61">
        <v>745000</v>
      </c>
      <c r="D16" s="59">
        <f t="shared" si="0"/>
        <v>850000</v>
      </c>
      <c r="E16" s="63">
        <v>99287.5</v>
      </c>
      <c r="F16" s="63">
        <v>704737.5</v>
      </c>
      <c r="G16" s="15">
        <f t="shared" si="1"/>
        <v>804025</v>
      </c>
      <c r="H16" s="15">
        <f t="shared" si="2"/>
        <v>1654025</v>
      </c>
      <c r="J16" s="5" t="s">
        <v>156</v>
      </c>
    </row>
    <row r="17" spans="1:10" s="5" customFormat="1" ht="12" customHeight="1" x14ac:dyDescent="0.2">
      <c r="A17" s="4" t="s">
        <v>9</v>
      </c>
      <c r="B17" s="61">
        <v>110000</v>
      </c>
      <c r="C17" s="61">
        <v>775000</v>
      </c>
      <c r="D17" s="59">
        <f t="shared" si="0"/>
        <v>885000</v>
      </c>
      <c r="E17" s="63">
        <v>94700</v>
      </c>
      <c r="F17" s="63">
        <v>672325</v>
      </c>
      <c r="G17" s="15">
        <f t="shared" si="1"/>
        <v>767025</v>
      </c>
      <c r="H17" s="15">
        <f t="shared" si="2"/>
        <v>1652025</v>
      </c>
      <c r="J17" s="5" t="s">
        <v>157</v>
      </c>
    </row>
    <row r="18" spans="1:10" s="5" customFormat="1" ht="12" customHeight="1" x14ac:dyDescent="0.25">
      <c r="A18" s="4" t="s">
        <v>12</v>
      </c>
      <c r="B18" s="61">
        <v>115000</v>
      </c>
      <c r="C18" s="61">
        <v>815000</v>
      </c>
      <c r="D18" s="59">
        <f t="shared" si="0"/>
        <v>930000</v>
      </c>
      <c r="E18" s="63">
        <v>89075</v>
      </c>
      <c r="F18" s="63">
        <v>632575</v>
      </c>
      <c r="G18" s="15">
        <f t="shared" si="1"/>
        <v>721650</v>
      </c>
      <c r="H18" s="15">
        <f t="shared" si="2"/>
        <v>1651650</v>
      </c>
      <c r="J18" s="24"/>
    </row>
    <row r="19" spans="1:10" s="5" customFormat="1" ht="12" customHeight="1" x14ac:dyDescent="0.2">
      <c r="A19" s="4" t="s">
        <v>18</v>
      </c>
      <c r="B19" s="61">
        <v>120000</v>
      </c>
      <c r="C19" s="61">
        <v>855000</v>
      </c>
      <c r="D19" s="59">
        <f t="shared" si="0"/>
        <v>975000</v>
      </c>
      <c r="E19" s="63">
        <v>83200</v>
      </c>
      <c r="F19" s="63">
        <v>590825</v>
      </c>
      <c r="G19" s="15">
        <f t="shared" si="1"/>
        <v>674025</v>
      </c>
      <c r="H19" s="15">
        <f t="shared" si="2"/>
        <v>1649025</v>
      </c>
    </row>
    <row r="20" spans="1:10" s="5" customFormat="1" ht="12" customHeight="1" x14ac:dyDescent="0.2">
      <c r="A20" s="4" t="s">
        <v>19</v>
      </c>
      <c r="B20" s="61">
        <v>125000</v>
      </c>
      <c r="C20" s="61">
        <v>900000</v>
      </c>
      <c r="D20" s="59">
        <f t="shared" si="0"/>
        <v>1025000</v>
      </c>
      <c r="E20" s="63">
        <v>77075</v>
      </c>
      <c r="F20" s="63">
        <v>546950</v>
      </c>
      <c r="G20" s="15">
        <f t="shared" si="1"/>
        <v>624025</v>
      </c>
      <c r="H20" s="15">
        <f t="shared" si="2"/>
        <v>1649025</v>
      </c>
    </row>
    <row r="21" spans="1:10" s="5" customFormat="1" ht="12" customHeight="1" x14ac:dyDescent="0.2">
      <c r="A21" s="4" t="s">
        <v>20</v>
      </c>
      <c r="B21" s="61">
        <v>135000</v>
      </c>
      <c r="C21" s="61">
        <v>945000</v>
      </c>
      <c r="D21" s="59">
        <f t="shared" si="0"/>
        <v>1080000</v>
      </c>
      <c r="E21" s="63">
        <v>70575</v>
      </c>
      <c r="F21" s="63">
        <v>500825</v>
      </c>
      <c r="G21" s="15">
        <f t="shared" si="1"/>
        <v>571400</v>
      </c>
      <c r="H21" s="15">
        <f t="shared" si="2"/>
        <v>1651400</v>
      </c>
    </row>
    <row r="22" spans="1:10" s="5" customFormat="1" ht="12" customHeight="1" x14ac:dyDescent="0.2">
      <c r="A22" s="4" t="s">
        <v>21</v>
      </c>
      <c r="B22" s="61">
        <v>140000</v>
      </c>
      <c r="C22" s="61">
        <v>990000</v>
      </c>
      <c r="D22" s="59">
        <f t="shared" si="0"/>
        <v>1130000</v>
      </c>
      <c r="E22" s="63">
        <v>64400</v>
      </c>
      <c r="F22" s="63">
        <v>457400</v>
      </c>
      <c r="G22" s="15">
        <f t="shared" si="1"/>
        <v>521800</v>
      </c>
      <c r="H22" s="15">
        <f t="shared" si="2"/>
        <v>1651800</v>
      </c>
    </row>
    <row r="23" spans="1:10" s="5" customFormat="1" ht="12" customHeight="1" x14ac:dyDescent="0.2">
      <c r="A23" s="4" t="s">
        <v>24</v>
      </c>
      <c r="B23" s="61">
        <v>145000</v>
      </c>
      <c r="C23" s="61">
        <v>1030000</v>
      </c>
      <c r="D23" s="59">
        <f t="shared" si="0"/>
        <v>1175000</v>
      </c>
      <c r="E23" s="63">
        <v>58700</v>
      </c>
      <c r="F23" s="63">
        <v>417000</v>
      </c>
      <c r="G23" s="15">
        <f t="shared" si="1"/>
        <v>475700</v>
      </c>
      <c r="H23" s="15">
        <f t="shared" si="2"/>
        <v>1650700</v>
      </c>
    </row>
    <row r="24" spans="1:10" s="5" customFormat="1" ht="12" customHeight="1" x14ac:dyDescent="0.2">
      <c r="A24" s="4" t="s">
        <v>25</v>
      </c>
      <c r="B24" s="61">
        <v>150000</v>
      </c>
      <c r="C24" s="61">
        <v>1070000</v>
      </c>
      <c r="D24" s="59">
        <f t="shared" si="0"/>
        <v>1220000</v>
      </c>
      <c r="E24" s="63">
        <v>52800</v>
      </c>
      <c r="F24" s="63">
        <v>375000</v>
      </c>
      <c r="G24" s="15">
        <f t="shared" si="1"/>
        <v>427800</v>
      </c>
      <c r="H24" s="15">
        <f t="shared" si="2"/>
        <v>1647800</v>
      </c>
    </row>
    <row r="25" spans="1:10" s="5" customFormat="1" ht="12" customHeight="1" x14ac:dyDescent="0.2">
      <c r="A25" s="4" t="s">
        <v>41</v>
      </c>
      <c r="B25" s="61">
        <v>160000</v>
      </c>
      <c r="C25" s="61">
        <v>1115000</v>
      </c>
      <c r="D25" s="59">
        <f t="shared" si="0"/>
        <v>1275000</v>
      </c>
      <c r="E25" s="63">
        <v>46600</v>
      </c>
      <c r="F25" s="63">
        <v>331300</v>
      </c>
      <c r="G25" s="15">
        <f t="shared" si="1"/>
        <v>377900</v>
      </c>
      <c r="H25" s="15">
        <f t="shared" si="2"/>
        <v>1652900</v>
      </c>
    </row>
    <row r="26" spans="1:10" s="5" customFormat="1" ht="12" customHeight="1" x14ac:dyDescent="0.2">
      <c r="A26" s="4" t="s">
        <v>49</v>
      </c>
      <c r="B26" s="61">
        <v>165000</v>
      </c>
      <c r="C26" s="61">
        <v>1160000</v>
      </c>
      <c r="D26" s="59">
        <f t="shared" si="0"/>
        <v>1325000</v>
      </c>
      <c r="E26" s="63">
        <v>40100</v>
      </c>
      <c r="F26" s="63">
        <v>285800</v>
      </c>
      <c r="G26" s="15">
        <f t="shared" si="1"/>
        <v>325900</v>
      </c>
      <c r="H26" s="15">
        <f t="shared" si="2"/>
        <v>1650900</v>
      </c>
    </row>
    <row r="27" spans="1:10" s="5" customFormat="1" ht="12" customHeight="1" x14ac:dyDescent="0.2">
      <c r="A27" s="4" t="s">
        <v>52</v>
      </c>
      <c r="B27" s="61">
        <v>170000</v>
      </c>
      <c r="C27" s="61">
        <v>1210000</v>
      </c>
      <c r="D27" s="59">
        <f t="shared" si="0"/>
        <v>1380000</v>
      </c>
      <c r="E27" s="63">
        <v>33400</v>
      </c>
      <c r="F27" s="63">
        <v>238400</v>
      </c>
      <c r="G27" s="15">
        <f t="shared" si="1"/>
        <v>271800</v>
      </c>
      <c r="H27" s="15">
        <f t="shared" si="2"/>
        <v>1651800</v>
      </c>
    </row>
    <row r="28" spans="1:10" s="5" customFormat="1" ht="12" customHeight="1" x14ac:dyDescent="0.2">
      <c r="A28" s="4" t="s">
        <v>75</v>
      </c>
      <c r="B28" s="61">
        <v>175000</v>
      </c>
      <c r="C28" s="61">
        <v>1260000</v>
      </c>
      <c r="D28" s="59">
        <f t="shared" si="0"/>
        <v>1435000</v>
      </c>
      <c r="E28" s="63">
        <v>26500</v>
      </c>
      <c r="F28" s="63">
        <v>189000</v>
      </c>
      <c r="G28" s="15">
        <f t="shared" si="1"/>
        <v>215500</v>
      </c>
      <c r="H28" s="15">
        <f t="shared" si="2"/>
        <v>1650500</v>
      </c>
    </row>
    <row r="29" spans="1:10" s="5" customFormat="1" ht="12" customHeight="1" x14ac:dyDescent="0.2">
      <c r="A29" s="4" t="s">
        <v>82</v>
      </c>
      <c r="B29" s="61">
        <v>185000</v>
      </c>
      <c r="C29" s="61">
        <v>1310000</v>
      </c>
      <c r="D29" s="59">
        <f t="shared" si="0"/>
        <v>1495000</v>
      </c>
      <c r="E29" s="63">
        <v>19300</v>
      </c>
      <c r="F29" s="63">
        <v>137600</v>
      </c>
      <c r="G29" s="15">
        <f t="shared" si="1"/>
        <v>156900</v>
      </c>
      <c r="H29" s="15">
        <f t="shared" si="2"/>
        <v>1651900</v>
      </c>
    </row>
    <row r="30" spans="1:10" s="5" customFormat="1" ht="12" customHeight="1" x14ac:dyDescent="0.2">
      <c r="A30" s="4" t="s">
        <v>95</v>
      </c>
      <c r="B30" s="61">
        <v>190000</v>
      </c>
      <c r="C30" s="61">
        <v>1365000</v>
      </c>
      <c r="D30" s="59">
        <f t="shared" si="0"/>
        <v>1555000</v>
      </c>
      <c r="E30" s="63">
        <v>11800</v>
      </c>
      <c r="F30" s="63">
        <v>84100</v>
      </c>
      <c r="G30" s="15">
        <f t="shared" si="1"/>
        <v>95900</v>
      </c>
      <c r="H30" s="15">
        <f t="shared" si="2"/>
        <v>1650900</v>
      </c>
    </row>
    <row r="31" spans="1:10" s="5" customFormat="1" ht="12" customHeight="1" x14ac:dyDescent="0.2">
      <c r="A31" s="4" t="s">
        <v>133</v>
      </c>
      <c r="B31" s="62">
        <v>200000</v>
      </c>
      <c r="C31" s="62">
        <v>1420000</v>
      </c>
      <c r="D31" s="59">
        <f t="shared" si="0"/>
        <v>1620000</v>
      </c>
      <c r="E31" s="64">
        <v>4000</v>
      </c>
      <c r="F31" s="64">
        <v>28400</v>
      </c>
      <c r="G31" s="15">
        <f t="shared" si="1"/>
        <v>32400</v>
      </c>
      <c r="H31" s="15">
        <f t="shared" si="2"/>
        <v>1652400</v>
      </c>
    </row>
    <row r="32" spans="1:10" x14ac:dyDescent="0.2">
      <c r="A32" s="6" t="s">
        <v>4</v>
      </c>
      <c r="B32" s="58"/>
      <c r="C32" s="58"/>
      <c r="D32" s="16">
        <f>SUM(D14:D31)</f>
        <v>20960000</v>
      </c>
      <c r="E32" s="60"/>
      <c r="F32" s="60"/>
      <c r="G32" s="16">
        <f>SUM(G14:G31)</f>
        <v>8758162.5</v>
      </c>
      <c r="H32" s="16">
        <f>SUM(H14:H31)</f>
        <v>29718162.5</v>
      </c>
    </row>
    <row r="33" spans="1:8" x14ac:dyDescent="0.2">
      <c r="A33" s="7"/>
      <c r="B33" s="7"/>
      <c r="C33" s="7"/>
      <c r="D33" s="17"/>
      <c r="E33" s="17"/>
      <c r="F33" s="17"/>
      <c r="G33" s="17"/>
      <c r="H33" s="17"/>
    </row>
    <row r="34" spans="1:8" x14ac:dyDescent="0.2">
      <c r="A34" s="7"/>
      <c r="B34" s="7"/>
      <c r="C34" s="7"/>
      <c r="D34" s="17"/>
      <c r="E34" s="17"/>
      <c r="F34" s="17"/>
      <c r="G34" s="17"/>
      <c r="H34" s="17"/>
    </row>
    <row r="35" spans="1:8" x14ac:dyDescent="0.2">
      <c r="A35" s="7"/>
      <c r="B35" s="7"/>
      <c r="C35" s="7"/>
      <c r="D35" s="17"/>
      <c r="E35" s="17"/>
      <c r="F35" s="17"/>
      <c r="G35" s="17"/>
      <c r="H35" s="17"/>
    </row>
    <row r="36" spans="1:8" x14ac:dyDescent="0.2">
      <c r="A36" s="7"/>
      <c r="B36" s="7"/>
      <c r="C36" s="7"/>
      <c r="D36" s="17"/>
      <c r="E36" s="17"/>
      <c r="F36" s="17"/>
      <c r="G36" s="17"/>
      <c r="H36" s="17"/>
    </row>
    <row r="37" spans="1:8" x14ac:dyDescent="0.2">
      <c r="A37" s="7"/>
      <c r="B37" s="7"/>
      <c r="C37" s="7"/>
      <c r="D37" s="17"/>
      <c r="E37" s="17"/>
      <c r="F37" s="17"/>
      <c r="G37" s="17"/>
      <c r="H37" s="17"/>
    </row>
    <row r="38" spans="1:8" x14ac:dyDescent="0.2">
      <c r="A38" s="7"/>
      <c r="B38" s="7"/>
      <c r="C38" s="7"/>
      <c r="D38" s="17"/>
      <c r="E38" s="17"/>
      <c r="F38" s="17"/>
      <c r="G38" s="17"/>
      <c r="H38" s="17"/>
    </row>
    <row r="39" spans="1:8" x14ac:dyDescent="0.2">
      <c r="A39" s="7"/>
      <c r="B39" s="7"/>
      <c r="C39" s="7"/>
      <c r="D39" s="17"/>
      <c r="E39" s="17"/>
      <c r="F39" s="17"/>
      <c r="G39" s="17"/>
      <c r="H39" s="17"/>
    </row>
    <row r="40" spans="1:8" x14ac:dyDescent="0.2">
      <c r="A40" s="7"/>
      <c r="B40" s="7"/>
      <c r="C40" s="7"/>
      <c r="D40" s="17"/>
      <c r="E40" s="17"/>
      <c r="F40" s="17"/>
      <c r="G40" s="17"/>
      <c r="H40" s="17"/>
    </row>
    <row r="41" spans="1:8" x14ac:dyDescent="0.2">
      <c r="D41" s="17"/>
      <c r="E41" s="17"/>
      <c r="F41" s="17"/>
      <c r="G41" s="17"/>
      <c r="H41" s="17"/>
    </row>
    <row r="42" spans="1:8" x14ac:dyDescent="0.2">
      <c r="D42" s="17"/>
      <c r="E42" s="17"/>
      <c r="F42" s="17"/>
      <c r="G42" s="17"/>
      <c r="H42" s="17"/>
    </row>
    <row r="43" spans="1:8" x14ac:dyDescent="0.2">
      <c r="D43" s="17"/>
      <c r="E43" s="17"/>
      <c r="F43" s="17"/>
      <c r="G43" s="17"/>
      <c r="H43" s="17"/>
    </row>
    <row r="44" spans="1:8" x14ac:dyDescent="0.2">
      <c r="D44" s="17"/>
      <c r="E44" s="17"/>
      <c r="F44" s="17"/>
      <c r="G44" s="17"/>
      <c r="H44" s="17"/>
    </row>
    <row r="45" spans="1:8" x14ac:dyDescent="0.2">
      <c r="D45" s="17"/>
      <c r="E45" s="17"/>
      <c r="F45" s="17"/>
      <c r="G45" s="17"/>
      <c r="H45" s="17"/>
    </row>
    <row r="46" spans="1:8" x14ac:dyDescent="0.2">
      <c r="D46" s="17"/>
      <c r="E46" s="17"/>
      <c r="F46" s="17"/>
      <c r="G46" s="17"/>
      <c r="H46" s="17"/>
    </row>
    <row r="47" spans="1:8" x14ac:dyDescent="0.2">
      <c r="D47" s="17"/>
      <c r="E47" s="17"/>
      <c r="F47" s="17"/>
      <c r="G47" s="17"/>
      <c r="H47" s="17"/>
    </row>
    <row r="48" spans="1:8" x14ac:dyDescent="0.2">
      <c r="D48" s="17"/>
      <c r="E48" s="17"/>
      <c r="F48" s="17"/>
      <c r="G48" s="17"/>
      <c r="H48" s="17"/>
    </row>
    <row r="49" spans="4:8" x14ac:dyDescent="0.2">
      <c r="D49" s="17"/>
      <c r="E49" s="17"/>
      <c r="F49" s="17"/>
      <c r="G49" s="17"/>
      <c r="H49" s="17"/>
    </row>
    <row r="50" spans="4:8" x14ac:dyDescent="0.2">
      <c r="D50" s="17"/>
      <c r="E50" s="17"/>
      <c r="F50" s="17"/>
      <c r="G50" s="17"/>
      <c r="H50" s="17"/>
    </row>
  </sheetData>
  <mergeCells count="8">
    <mergeCell ref="A9:H9"/>
    <mergeCell ref="A11:H11"/>
    <mergeCell ref="A1:H1"/>
    <mergeCell ref="A2:H2"/>
    <mergeCell ref="A3:H3"/>
    <mergeCell ref="A4:H4"/>
    <mergeCell ref="A5:H5"/>
    <mergeCell ref="A6:H8"/>
  </mergeCells>
  <phoneticPr fontId="11" type="noConversion"/>
  <pageMargins left="0.75" right="0.4" top="0.75" bottom="0.75" header="0.5" footer="0.5"/>
  <pageSetup scale="90" firstPageNumber="0" orientation="portrait" useFirstPageNumber="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4AECA-E13B-4638-8843-8615F737470D}">
  <dimension ref="A1:H50"/>
  <sheetViews>
    <sheetView workbookViewId="0">
      <selection activeCell="O37" sqref="O37"/>
    </sheetView>
  </sheetViews>
  <sheetFormatPr defaultRowHeight="12.75" x14ac:dyDescent="0.2"/>
  <cols>
    <col min="1" max="4" width="25" style="12" customWidth="1"/>
    <col min="5" max="254" width="9.140625" style="1"/>
    <col min="255" max="259" width="18.5703125" style="1" customWidth="1"/>
    <col min="260" max="510" width="9.140625" style="1"/>
    <col min="511" max="515" width="18.5703125" style="1" customWidth="1"/>
    <col min="516" max="766" width="9.140625" style="1"/>
    <col min="767" max="771" width="18.5703125" style="1" customWidth="1"/>
    <col min="772" max="1022" width="9.140625" style="1"/>
    <col min="1023" max="1027" width="18.5703125" style="1" customWidth="1"/>
    <col min="1028" max="1278" width="9.140625" style="1"/>
    <col min="1279" max="1283" width="18.5703125" style="1" customWidth="1"/>
    <col min="1284" max="1534" width="9.140625" style="1"/>
    <col min="1535" max="1539" width="18.5703125" style="1" customWidth="1"/>
    <col min="1540" max="1790" width="9.140625" style="1"/>
    <col min="1791" max="1795" width="18.5703125" style="1" customWidth="1"/>
    <col min="1796" max="2046" width="9.140625" style="1"/>
    <col min="2047" max="2051" width="18.5703125" style="1" customWidth="1"/>
    <col min="2052" max="2302" width="9.140625" style="1"/>
    <col min="2303" max="2307" width="18.5703125" style="1" customWidth="1"/>
    <col min="2308" max="2558" width="9.140625" style="1"/>
    <col min="2559" max="2563" width="18.5703125" style="1" customWidth="1"/>
    <col min="2564" max="2814" width="9.140625" style="1"/>
    <col min="2815" max="2819" width="18.5703125" style="1" customWidth="1"/>
    <col min="2820" max="3070" width="9.140625" style="1"/>
    <col min="3071" max="3075" width="18.5703125" style="1" customWidth="1"/>
    <col min="3076" max="3326" width="9.140625" style="1"/>
    <col min="3327" max="3331" width="18.5703125" style="1" customWidth="1"/>
    <col min="3332" max="3582" width="9.140625" style="1"/>
    <col min="3583" max="3587" width="18.5703125" style="1" customWidth="1"/>
    <col min="3588" max="3838" width="9.140625" style="1"/>
    <col min="3839" max="3843" width="18.5703125" style="1" customWidth="1"/>
    <col min="3844" max="4094" width="9.140625" style="1"/>
    <col min="4095" max="4099" width="18.5703125" style="1" customWidth="1"/>
    <col min="4100" max="4350" width="9.140625" style="1"/>
    <col min="4351" max="4355" width="18.5703125" style="1" customWidth="1"/>
    <col min="4356" max="4606" width="9.140625" style="1"/>
    <col min="4607" max="4611" width="18.5703125" style="1" customWidth="1"/>
    <col min="4612" max="4862" width="9.140625" style="1"/>
    <col min="4863" max="4867" width="18.5703125" style="1" customWidth="1"/>
    <col min="4868" max="5118" width="9.140625" style="1"/>
    <col min="5119" max="5123" width="18.5703125" style="1" customWidth="1"/>
    <col min="5124" max="5374" width="9.140625" style="1"/>
    <col min="5375" max="5379" width="18.5703125" style="1" customWidth="1"/>
    <col min="5380" max="5630" width="9.140625" style="1"/>
    <col min="5631" max="5635" width="18.5703125" style="1" customWidth="1"/>
    <col min="5636" max="5886" width="9.140625" style="1"/>
    <col min="5887" max="5891" width="18.5703125" style="1" customWidth="1"/>
    <col min="5892" max="6142" width="9.140625" style="1"/>
    <col min="6143" max="6147" width="18.5703125" style="1" customWidth="1"/>
    <col min="6148" max="6398" width="9.140625" style="1"/>
    <col min="6399" max="6403" width="18.5703125" style="1" customWidth="1"/>
    <col min="6404" max="6654" width="9.140625" style="1"/>
    <col min="6655" max="6659" width="18.5703125" style="1" customWidth="1"/>
    <col min="6660" max="6910" width="9.140625" style="1"/>
    <col min="6911" max="6915" width="18.5703125" style="1" customWidth="1"/>
    <col min="6916" max="7166" width="9.140625" style="1"/>
    <col min="7167" max="7171" width="18.5703125" style="1" customWidth="1"/>
    <col min="7172" max="7422" width="9.140625" style="1"/>
    <col min="7423" max="7427" width="18.5703125" style="1" customWidth="1"/>
    <col min="7428" max="7678" width="9.140625" style="1"/>
    <col min="7679" max="7683" width="18.5703125" style="1" customWidth="1"/>
    <col min="7684" max="7934" width="9.140625" style="1"/>
    <col min="7935" max="7939" width="18.5703125" style="1" customWidth="1"/>
    <col min="7940" max="8190" width="9.140625" style="1"/>
    <col min="8191" max="8195" width="18.5703125" style="1" customWidth="1"/>
    <col min="8196" max="8446" width="9.140625" style="1"/>
    <col min="8447" max="8451" width="18.5703125" style="1" customWidth="1"/>
    <col min="8452" max="8702" width="9.140625" style="1"/>
    <col min="8703" max="8707" width="18.5703125" style="1" customWidth="1"/>
    <col min="8708" max="8958" width="9.140625" style="1"/>
    <col min="8959" max="8963" width="18.5703125" style="1" customWidth="1"/>
    <col min="8964" max="9214" width="9.140625" style="1"/>
    <col min="9215" max="9219" width="18.5703125" style="1" customWidth="1"/>
    <col min="9220" max="9470" width="9.140625" style="1"/>
    <col min="9471" max="9475" width="18.5703125" style="1" customWidth="1"/>
    <col min="9476" max="9726" width="9.140625" style="1"/>
    <col min="9727" max="9731" width="18.5703125" style="1" customWidth="1"/>
    <col min="9732" max="9982" width="9.140625" style="1"/>
    <col min="9983" max="9987" width="18.5703125" style="1" customWidth="1"/>
    <col min="9988" max="10238" width="9.140625" style="1"/>
    <col min="10239" max="10243" width="18.5703125" style="1" customWidth="1"/>
    <col min="10244" max="10494" width="9.140625" style="1"/>
    <col min="10495" max="10499" width="18.5703125" style="1" customWidth="1"/>
    <col min="10500" max="10750" width="9.140625" style="1"/>
    <col min="10751" max="10755" width="18.5703125" style="1" customWidth="1"/>
    <col min="10756" max="11006" width="9.140625" style="1"/>
    <col min="11007" max="11011" width="18.5703125" style="1" customWidth="1"/>
    <col min="11012" max="11262" width="9.140625" style="1"/>
    <col min="11263" max="11267" width="18.5703125" style="1" customWidth="1"/>
    <col min="11268" max="11518" width="9.140625" style="1"/>
    <col min="11519" max="11523" width="18.5703125" style="1" customWidth="1"/>
    <col min="11524" max="11774" width="9.140625" style="1"/>
    <col min="11775" max="11779" width="18.5703125" style="1" customWidth="1"/>
    <col min="11780" max="12030" width="9.140625" style="1"/>
    <col min="12031" max="12035" width="18.5703125" style="1" customWidth="1"/>
    <col min="12036" max="12286" width="9.140625" style="1"/>
    <col min="12287" max="12291" width="18.5703125" style="1" customWidth="1"/>
    <col min="12292" max="12542" width="9.140625" style="1"/>
    <col min="12543" max="12547" width="18.5703125" style="1" customWidth="1"/>
    <col min="12548" max="12798" width="9.140625" style="1"/>
    <col min="12799" max="12803" width="18.5703125" style="1" customWidth="1"/>
    <col min="12804" max="13054" width="9.140625" style="1"/>
    <col min="13055" max="13059" width="18.5703125" style="1" customWidth="1"/>
    <col min="13060" max="13310" width="9.140625" style="1"/>
    <col min="13311" max="13315" width="18.5703125" style="1" customWidth="1"/>
    <col min="13316" max="13566" width="9.140625" style="1"/>
    <col min="13567" max="13571" width="18.5703125" style="1" customWidth="1"/>
    <col min="13572" max="13822" width="9.140625" style="1"/>
    <col min="13823" max="13827" width="18.5703125" style="1" customWidth="1"/>
    <col min="13828" max="14078" width="9.140625" style="1"/>
    <col min="14079" max="14083" width="18.5703125" style="1" customWidth="1"/>
    <col min="14084" max="14334" width="9.140625" style="1"/>
    <col min="14335" max="14339" width="18.5703125" style="1" customWidth="1"/>
    <col min="14340" max="14590" width="9.140625" style="1"/>
    <col min="14591" max="14595" width="18.5703125" style="1" customWidth="1"/>
    <col min="14596" max="14846" width="9.140625" style="1"/>
    <col min="14847" max="14851" width="18.5703125" style="1" customWidth="1"/>
    <col min="14852" max="15102" width="9.140625" style="1"/>
    <col min="15103" max="15107" width="18.5703125" style="1" customWidth="1"/>
    <col min="15108" max="15358" width="9.140625" style="1"/>
    <col min="15359" max="15363" width="18.5703125" style="1" customWidth="1"/>
    <col min="15364" max="15614" width="9.140625" style="1"/>
    <col min="15615" max="15619" width="18.5703125" style="1" customWidth="1"/>
    <col min="15620" max="15870" width="9.140625" style="1"/>
    <col min="15871" max="15875" width="18.5703125" style="1" customWidth="1"/>
    <col min="15876" max="16126" width="9.140625" style="1"/>
    <col min="16127" max="16131" width="18.5703125" style="1" customWidth="1"/>
    <col min="16132" max="16384" width="9.140625" style="1"/>
  </cols>
  <sheetData>
    <row r="1" spans="1:8" ht="15" customHeight="1" x14ac:dyDescent="0.25">
      <c r="A1" s="100" t="s">
        <v>0</v>
      </c>
      <c r="B1" s="100"/>
      <c r="C1" s="100"/>
      <c r="D1" s="100"/>
    </row>
    <row r="2" spans="1:8" ht="15" customHeight="1" x14ac:dyDescent="0.25">
      <c r="A2" s="100" t="s">
        <v>154</v>
      </c>
      <c r="B2" s="100"/>
      <c r="C2" s="100"/>
      <c r="D2" s="100"/>
      <c r="E2" s="45"/>
      <c r="F2" s="45"/>
      <c r="G2" s="45"/>
      <c r="H2" s="45"/>
    </row>
    <row r="3" spans="1:8" ht="15" customHeight="1" x14ac:dyDescent="0.25">
      <c r="A3" s="101" t="s">
        <v>1</v>
      </c>
      <c r="B3" s="101"/>
      <c r="C3" s="101"/>
      <c r="D3" s="101"/>
    </row>
    <row r="4" spans="1:8" ht="15" customHeight="1" x14ac:dyDescent="0.25">
      <c r="A4" s="101" t="s">
        <v>144</v>
      </c>
      <c r="B4" s="101"/>
      <c r="C4" s="101"/>
      <c r="D4" s="101"/>
    </row>
    <row r="5" spans="1:8" ht="15" customHeight="1" x14ac:dyDescent="0.25">
      <c r="A5" s="101" t="s">
        <v>136</v>
      </c>
      <c r="B5" s="101"/>
      <c r="C5" s="101"/>
      <c r="D5" s="101"/>
    </row>
    <row r="6" spans="1:8" ht="8.25" customHeight="1" x14ac:dyDescent="0.2">
      <c r="A6" s="104" t="s">
        <v>138</v>
      </c>
      <c r="B6" s="104"/>
      <c r="C6" s="104"/>
      <c r="D6" s="104"/>
    </row>
    <row r="7" spans="1:8" ht="15" customHeight="1" x14ac:dyDescent="0.2">
      <c r="A7" s="104"/>
      <c r="B7" s="104"/>
      <c r="C7" s="104"/>
      <c r="D7" s="104"/>
    </row>
    <row r="8" spans="1:8" ht="23.25" customHeight="1" x14ac:dyDescent="0.2">
      <c r="A8" s="104"/>
      <c r="B8" s="104"/>
      <c r="C8" s="104"/>
      <c r="D8" s="104"/>
    </row>
    <row r="9" spans="1:8" ht="15" customHeight="1" x14ac:dyDescent="0.2">
      <c r="A9" s="103" t="s">
        <v>166</v>
      </c>
      <c r="B9" s="103"/>
      <c r="C9" s="103"/>
      <c r="D9" s="103"/>
    </row>
    <row r="10" spans="1:8" ht="9" customHeight="1" x14ac:dyDescent="0.2">
      <c r="A10" s="22"/>
      <c r="B10" s="22"/>
      <c r="C10" s="22"/>
      <c r="D10" s="22"/>
    </row>
    <row r="11" spans="1:8" ht="9" customHeight="1" x14ac:dyDescent="0.2">
      <c r="A11" s="99"/>
      <c r="B11" s="99"/>
      <c r="C11" s="99"/>
      <c r="D11" s="99"/>
    </row>
    <row r="12" spans="1:8" x14ac:dyDescent="0.2">
      <c r="A12" s="3" t="s">
        <v>43</v>
      </c>
      <c r="B12" s="20" t="s">
        <v>44</v>
      </c>
      <c r="C12" s="20" t="s">
        <v>45</v>
      </c>
      <c r="D12" s="20" t="s">
        <v>46</v>
      </c>
    </row>
    <row r="13" spans="1:8" ht="8.25" customHeight="1" x14ac:dyDescent="0.2">
      <c r="A13" s="4"/>
      <c r="B13" s="15"/>
      <c r="C13" s="15"/>
      <c r="D13" s="15"/>
    </row>
    <row r="14" spans="1:8" s="5" customFormat="1" ht="12" customHeight="1" x14ac:dyDescent="0.2">
      <c r="A14" s="4" t="s">
        <v>6</v>
      </c>
      <c r="B14" s="15">
        <v>165000</v>
      </c>
      <c r="C14" s="15">
        <v>188870.25</v>
      </c>
      <c r="D14" s="15">
        <f t="shared" ref="D14:D31" si="0">+B14+C14</f>
        <v>353870.25</v>
      </c>
    </row>
    <row r="15" spans="1:8" s="5" customFormat="1" ht="12" customHeight="1" x14ac:dyDescent="0.2">
      <c r="A15" s="4" t="s">
        <v>7</v>
      </c>
      <c r="B15" s="15">
        <v>170000</v>
      </c>
      <c r="C15" s="15">
        <v>183265</v>
      </c>
      <c r="D15" s="15">
        <f t="shared" si="0"/>
        <v>353265</v>
      </c>
    </row>
    <row r="16" spans="1:8" s="5" customFormat="1" ht="12" customHeight="1" x14ac:dyDescent="0.2">
      <c r="A16" s="4" t="s">
        <v>8</v>
      </c>
      <c r="B16" s="15">
        <v>180000</v>
      </c>
      <c r="C16" s="15">
        <v>177155</v>
      </c>
      <c r="D16" s="15">
        <f t="shared" si="0"/>
        <v>357155</v>
      </c>
    </row>
    <row r="17" spans="1:6" s="5" customFormat="1" ht="12" customHeight="1" x14ac:dyDescent="0.25">
      <c r="A17" s="4" t="s">
        <v>9</v>
      </c>
      <c r="B17" s="15">
        <v>185000</v>
      </c>
      <c r="C17" s="15">
        <v>170565</v>
      </c>
      <c r="D17" s="15">
        <f t="shared" si="0"/>
        <v>355565</v>
      </c>
      <c r="F17" s="24"/>
    </row>
    <row r="18" spans="1:6" s="5" customFormat="1" ht="12" customHeight="1" x14ac:dyDescent="0.25">
      <c r="A18" s="4" t="s">
        <v>12</v>
      </c>
      <c r="B18" s="15">
        <v>190000</v>
      </c>
      <c r="C18" s="15">
        <v>163503.5</v>
      </c>
      <c r="D18" s="15">
        <f t="shared" si="0"/>
        <v>353503.5</v>
      </c>
      <c r="F18" s="24"/>
    </row>
    <row r="19" spans="1:6" s="5" customFormat="1" ht="12" customHeight="1" x14ac:dyDescent="0.2">
      <c r="A19" s="4" t="s">
        <v>18</v>
      </c>
      <c r="B19" s="15">
        <v>200000</v>
      </c>
      <c r="C19" s="15">
        <v>155826</v>
      </c>
      <c r="D19" s="15">
        <f t="shared" si="0"/>
        <v>355826</v>
      </c>
    </row>
    <row r="20" spans="1:6" s="5" customFormat="1" ht="12" customHeight="1" x14ac:dyDescent="0.2">
      <c r="A20" s="4" t="s">
        <v>19</v>
      </c>
      <c r="B20" s="15">
        <v>210000</v>
      </c>
      <c r="C20" s="15">
        <v>147480</v>
      </c>
      <c r="D20" s="15">
        <f t="shared" si="0"/>
        <v>357480</v>
      </c>
    </row>
    <row r="21" spans="1:6" s="5" customFormat="1" ht="12" customHeight="1" x14ac:dyDescent="0.2">
      <c r="A21" s="4" t="s">
        <v>20</v>
      </c>
      <c r="B21" s="15">
        <v>215000</v>
      </c>
      <c r="C21" s="15">
        <v>138617.5</v>
      </c>
      <c r="D21" s="15">
        <f t="shared" si="0"/>
        <v>353617.5</v>
      </c>
    </row>
    <row r="22" spans="1:6" s="5" customFormat="1" ht="12" customHeight="1" x14ac:dyDescent="0.2">
      <c r="A22" s="4" t="s">
        <v>21</v>
      </c>
      <c r="B22" s="15">
        <v>225000</v>
      </c>
      <c r="C22" s="15">
        <v>128861</v>
      </c>
      <c r="D22" s="15">
        <f t="shared" si="0"/>
        <v>353861</v>
      </c>
    </row>
    <row r="23" spans="1:6" s="5" customFormat="1" ht="12" customHeight="1" x14ac:dyDescent="0.2">
      <c r="A23" s="4" t="s">
        <v>24</v>
      </c>
      <c r="B23" s="15">
        <v>235000</v>
      </c>
      <c r="C23" s="15">
        <v>118189</v>
      </c>
      <c r="D23" s="15">
        <f t="shared" si="0"/>
        <v>353189</v>
      </c>
    </row>
    <row r="24" spans="1:6" s="5" customFormat="1" ht="12" customHeight="1" x14ac:dyDescent="0.2">
      <c r="A24" s="4" t="s">
        <v>25</v>
      </c>
      <c r="B24" s="15">
        <v>250000</v>
      </c>
      <c r="C24" s="15">
        <v>106937</v>
      </c>
      <c r="D24" s="15">
        <f t="shared" si="0"/>
        <v>356937</v>
      </c>
    </row>
    <row r="25" spans="1:6" s="5" customFormat="1" ht="12" customHeight="1" x14ac:dyDescent="0.2">
      <c r="A25" s="4" t="s">
        <v>41</v>
      </c>
      <c r="B25" s="15">
        <v>260000</v>
      </c>
      <c r="C25" s="15">
        <v>95105</v>
      </c>
      <c r="D25" s="15">
        <f t="shared" si="0"/>
        <v>355105</v>
      </c>
    </row>
    <row r="26" spans="1:6" s="5" customFormat="1" ht="12" customHeight="1" x14ac:dyDescent="0.2">
      <c r="A26" s="4" t="s">
        <v>49</v>
      </c>
      <c r="B26" s="15">
        <v>270000</v>
      </c>
      <c r="C26" s="15">
        <v>82809</v>
      </c>
      <c r="D26" s="15">
        <f t="shared" si="0"/>
        <v>352809</v>
      </c>
    </row>
    <row r="27" spans="1:6" s="5" customFormat="1" ht="12" customHeight="1" x14ac:dyDescent="0.2">
      <c r="A27" s="4" t="s">
        <v>52</v>
      </c>
      <c r="B27" s="15">
        <v>285000</v>
      </c>
      <c r="C27" s="15">
        <v>69619.5</v>
      </c>
      <c r="D27" s="15">
        <f t="shared" si="0"/>
        <v>354619.5</v>
      </c>
    </row>
    <row r="28" spans="1:6" s="5" customFormat="1" ht="12" customHeight="1" x14ac:dyDescent="0.2">
      <c r="A28" s="4" t="s">
        <v>75</v>
      </c>
      <c r="B28" s="15">
        <v>300000</v>
      </c>
      <c r="C28" s="15">
        <v>55404</v>
      </c>
      <c r="D28" s="15">
        <f t="shared" si="0"/>
        <v>355404</v>
      </c>
    </row>
    <row r="29" spans="1:6" s="5" customFormat="1" ht="12" customHeight="1" x14ac:dyDescent="0.2">
      <c r="A29" s="4" t="s">
        <v>82</v>
      </c>
      <c r="B29" s="15">
        <v>315000</v>
      </c>
      <c r="C29" s="15">
        <v>40459.5</v>
      </c>
      <c r="D29" s="15">
        <f t="shared" si="0"/>
        <v>355459.5</v>
      </c>
    </row>
    <row r="30" spans="1:6" s="5" customFormat="1" ht="12" customHeight="1" x14ac:dyDescent="0.2">
      <c r="A30" s="4" t="s">
        <v>95</v>
      </c>
      <c r="B30" s="15">
        <v>330000</v>
      </c>
      <c r="C30" s="15">
        <v>24786</v>
      </c>
      <c r="D30" s="15">
        <f t="shared" si="0"/>
        <v>354786</v>
      </c>
    </row>
    <row r="31" spans="1:6" s="5" customFormat="1" ht="12" customHeight="1" x14ac:dyDescent="0.2">
      <c r="A31" s="4" t="s">
        <v>133</v>
      </c>
      <c r="B31" s="15">
        <v>345000</v>
      </c>
      <c r="C31" s="15">
        <v>8383.5</v>
      </c>
      <c r="D31" s="15">
        <f t="shared" si="0"/>
        <v>353383.5</v>
      </c>
    </row>
    <row r="32" spans="1:6" x14ac:dyDescent="0.2">
      <c r="A32" s="6" t="s">
        <v>4</v>
      </c>
      <c r="B32" s="16">
        <f>SUM(B14:B31)</f>
        <v>4330000</v>
      </c>
      <c r="C32" s="16">
        <f>SUM(C14:C31)</f>
        <v>2055835.75</v>
      </c>
      <c r="D32" s="16">
        <f>SUM(D14:D31)</f>
        <v>6385835.75</v>
      </c>
    </row>
    <row r="33" spans="1:4" x14ac:dyDescent="0.2">
      <c r="A33" s="7"/>
      <c r="B33" s="17"/>
      <c r="C33" s="17"/>
      <c r="D33" s="17"/>
    </row>
    <row r="34" spans="1:4" x14ac:dyDescent="0.2">
      <c r="A34" s="7"/>
      <c r="B34" s="17"/>
      <c r="C34" s="17"/>
      <c r="D34" s="17"/>
    </row>
    <row r="35" spans="1:4" x14ac:dyDescent="0.2">
      <c r="A35" s="7"/>
      <c r="B35" s="17"/>
      <c r="C35" s="17"/>
      <c r="D35" s="17"/>
    </row>
    <row r="36" spans="1:4" x14ac:dyDescent="0.2">
      <c r="A36" s="7"/>
      <c r="B36" s="17"/>
      <c r="C36" s="17"/>
      <c r="D36" s="17"/>
    </row>
    <row r="37" spans="1:4" x14ac:dyDescent="0.2">
      <c r="A37" s="7"/>
      <c r="B37" s="17"/>
      <c r="C37" s="17"/>
      <c r="D37" s="17"/>
    </row>
    <row r="38" spans="1:4" x14ac:dyDescent="0.2">
      <c r="A38" s="7"/>
      <c r="B38" s="17"/>
      <c r="C38" s="17"/>
      <c r="D38" s="17"/>
    </row>
    <row r="39" spans="1:4" x14ac:dyDescent="0.2">
      <c r="A39" s="7"/>
      <c r="B39" s="17"/>
      <c r="C39" s="17"/>
      <c r="D39" s="17"/>
    </row>
    <row r="40" spans="1:4" x14ac:dyDescent="0.2">
      <c r="A40" s="7"/>
      <c r="B40" s="17"/>
      <c r="C40" s="17"/>
      <c r="D40" s="17"/>
    </row>
    <row r="41" spans="1:4" x14ac:dyDescent="0.2">
      <c r="B41" s="17"/>
      <c r="C41" s="17"/>
      <c r="D41" s="17"/>
    </row>
    <row r="42" spans="1:4" x14ac:dyDescent="0.2">
      <c r="B42" s="17"/>
      <c r="C42" s="17"/>
      <c r="D42" s="17"/>
    </row>
    <row r="43" spans="1:4" x14ac:dyDescent="0.2">
      <c r="B43" s="17"/>
      <c r="C43" s="17"/>
      <c r="D43" s="17"/>
    </row>
    <row r="44" spans="1:4" x14ac:dyDescent="0.2">
      <c r="B44" s="17"/>
      <c r="C44" s="17"/>
      <c r="D44" s="17"/>
    </row>
    <row r="45" spans="1:4" x14ac:dyDescent="0.2">
      <c r="B45" s="17"/>
      <c r="C45" s="17"/>
      <c r="D45" s="17"/>
    </row>
    <row r="46" spans="1:4" x14ac:dyDescent="0.2">
      <c r="B46" s="17"/>
      <c r="C46" s="17"/>
      <c r="D46" s="17"/>
    </row>
    <row r="47" spans="1:4" x14ac:dyDescent="0.2">
      <c r="B47" s="17"/>
      <c r="C47" s="17"/>
      <c r="D47" s="17"/>
    </row>
    <row r="48" spans="1:4" x14ac:dyDescent="0.2">
      <c r="B48" s="17"/>
      <c r="C48" s="17"/>
      <c r="D48" s="17"/>
    </row>
    <row r="49" spans="2:4" x14ac:dyDescent="0.2">
      <c r="B49" s="17"/>
      <c r="C49" s="17"/>
      <c r="D49" s="17"/>
    </row>
    <row r="50" spans="2:4" x14ac:dyDescent="0.2">
      <c r="B50" s="17"/>
      <c r="C50" s="17"/>
      <c r="D50" s="17"/>
    </row>
  </sheetData>
  <mergeCells count="8">
    <mergeCell ref="A9:D9"/>
    <mergeCell ref="A11:D11"/>
    <mergeCell ref="A1:D1"/>
    <mergeCell ref="A2:D2"/>
    <mergeCell ref="A3:D3"/>
    <mergeCell ref="A4:D4"/>
    <mergeCell ref="A5:D5"/>
    <mergeCell ref="A6:D8"/>
  </mergeCells>
  <pageMargins left="0.75" right="0.4" top="0.75" bottom="0.75" header="0.5" footer="0.5"/>
  <pageSetup scale="90" firstPageNumber="0" orientation="portrait" useFirstPageNumber="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30F29-CE73-47F9-9878-AA6E6FB5EAF2}">
  <dimension ref="A1:F40"/>
  <sheetViews>
    <sheetView workbookViewId="0">
      <selection activeCell="H34" sqref="H34"/>
    </sheetView>
  </sheetViews>
  <sheetFormatPr defaultRowHeight="12.75" x14ac:dyDescent="0.2"/>
  <cols>
    <col min="1" max="4" width="25" style="12" customWidth="1"/>
    <col min="5" max="254" width="8.85546875" style="1"/>
    <col min="255" max="259" width="18.5703125" style="1" customWidth="1"/>
    <col min="260" max="510" width="8.85546875" style="1"/>
    <col min="511" max="515" width="18.5703125" style="1" customWidth="1"/>
    <col min="516" max="766" width="8.85546875" style="1"/>
    <col min="767" max="771" width="18.5703125" style="1" customWidth="1"/>
    <col min="772" max="1022" width="8.85546875" style="1"/>
    <col min="1023" max="1027" width="18.5703125" style="1" customWidth="1"/>
    <col min="1028" max="1278" width="8.85546875" style="1"/>
    <col min="1279" max="1283" width="18.5703125" style="1" customWidth="1"/>
    <col min="1284" max="1534" width="8.85546875" style="1"/>
    <col min="1535" max="1539" width="18.5703125" style="1" customWidth="1"/>
    <col min="1540" max="1790" width="8.85546875" style="1"/>
    <col min="1791" max="1795" width="18.5703125" style="1" customWidth="1"/>
    <col min="1796" max="2046" width="8.85546875" style="1"/>
    <col min="2047" max="2051" width="18.5703125" style="1" customWidth="1"/>
    <col min="2052" max="2302" width="8.85546875" style="1"/>
    <col min="2303" max="2307" width="18.5703125" style="1" customWidth="1"/>
    <col min="2308" max="2558" width="8.85546875" style="1"/>
    <col min="2559" max="2563" width="18.5703125" style="1" customWidth="1"/>
    <col min="2564" max="2814" width="8.85546875" style="1"/>
    <col min="2815" max="2819" width="18.5703125" style="1" customWidth="1"/>
    <col min="2820" max="3070" width="8.85546875" style="1"/>
    <col min="3071" max="3075" width="18.5703125" style="1" customWidth="1"/>
    <col min="3076" max="3326" width="8.85546875" style="1"/>
    <col min="3327" max="3331" width="18.5703125" style="1" customWidth="1"/>
    <col min="3332" max="3582" width="8.85546875" style="1"/>
    <col min="3583" max="3587" width="18.5703125" style="1" customWidth="1"/>
    <col min="3588" max="3838" width="8.85546875" style="1"/>
    <col min="3839" max="3843" width="18.5703125" style="1" customWidth="1"/>
    <col min="3844" max="4094" width="8.85546875" style="1"/>
    <col min="4095" max="4099" width="18.5703125" style="1" customWidth="1"/>
    <col min="4100" max="4350" width="8.85546875" style="1"/>
    <col min="4351" max="4355" width="18.5703125" style="1" customWidth="1"/>
    <col min="4356" max="4606" width="8.85546875" style="1"/>
    <col min="4607" max="4611" width="18.5703125" style="1" customWidth="1"/>
    <col min="4612" max="4862" width="8.85546875" style="1"/>
    <col min="4863" max="4867" width="18.5703125" style="1" customWidth="1"/>
    <col min="4868" max="5118" width="8.85546875" style="1"/>
    <col min="5119" max="5123" width="18.5703125" style="1" customWidth="1"/>
    <col min="5124" max="5374" width="8.85546875" style="1"/>
    <col min="5375" max="5379" width="18.5703125" style="1" customWidth="1"/>
    <col min="5380" max="5630" width="8.85546875" style="1"/>
    <col min="5631" max="5635" width="18.5703125" style="1" customWidth="1"/>
    <col min="5636" max="5886" width="8.85546875" style="1"/>
    <col min="5887" max="5891" width="18.5703125" style="1" customWidth="1"/>
    <col min="5892" max="6142" width="8.85546875" style="1"/>
    <col min="6143" max="6147" width="18.5703125" style="1" customWidth="1"/>
    <col min="6148" max="6398" width="8.85546875" style="1"/>
    <col min="6399" max="6403" width="18.5703125" style="1" customWidth="1"/>
    <col min="6404" max="6654" width="8.85546875" style="1"/>
    <col min="6655" max="6659" width="18.5703125" style="1" customWidth="1"/>
    <col min="6660" max="6910" width="8.85546875" style="1"/>
    <col min="6911" max="6915" width="18.5703125" style="1" customWidth="1"/>
    <col min="6916" max="7166" width="8.85546875" style="1"/>
    <col min="7167" max="7171" width="18.5703125" style="1" customWidth="1"/>
    <col min="7172" max="7422" width="8.85546875" style="1"/>
    <col min="7423" max="7427" width="18.5703125" style="1" customWidth="1"/>
    <col min="7428" max="7678" width="8.85546875" style="1"/>
    <col min="7679" max="7683" width="18.5703125" style="1" customWidth="1"/>
    <col min="7684" max="7934" width="8.85546875" style="1"/>
    <col min="7935" max="7939" width="18.5703125" style="1" customWidth="1"/>
    <col min="7940" max="8190" width="8.85546875" style="1"/>
    <col min="8191" max="8195" width="18.5703125" style="1" customWidth="1"/>
    <col min="8196" max="8446" width="8.85546875" style="1"/>
    <col min="8447" max="8451" width="18.5703125" style="1" customWidth="1"/>
    <col min="8452" max="8702" width="8.85546875" style="1"/>
    <col min="8703" max="8707" width="18.5703125" style="1" customWidth="1"/>
    <col min="8708" max="8958" width="8.85546875" style="1"/>
    <col min="8959" max="8963" width="18.5703125" style="1" customWidth="1"/>
    <col min="8964" max="9214" width="8.85546875" style="1"/>
    <col min="9215" max="9219" width="18.5703125" style="1" customWidth="1"/>
    <col min="9220" max="9470" width="8.85546875" style="1"/>
    <col min="9471" max="9475" width="18.5703125" style="1" customWidth="1"/>
    <col min="9476" max="9726" width="8.85546875" style="1"/>
    <col min="9727" max="9731" width="18.5703125" style="1" customWidth="1"/>
    <col min="9732" max="9982" width="8.85546875" style="1"/>
    <col min="9983" max="9987" width="18.5703125" style="1" customWidth="1"/>
    <col min="9988" max="10238" width="8.85546875" style="1"/>
    <col min="10239" max="10243" width="18.5703125" style="1" customWidth="1"/>
    <col min="10244" max="10494" width="8.85546875" style="1"/>
    <col min="10495" max="10499" width="18.5703125" style="1" customWidth="1"/>
    <col min="10500" max="10750" width="8.85546875" style="1"/>
    <col min="10751" max="10755" width="18.5703125" style="1" customWidth="1"/>
    <col min="10756" max="11006" width="8.85546875" style="1"/>
    <col min="11007" max="11011" width="18.5703125" style="1" customWidth="1"/>
    <col min="11012" max="11262" width="8.85546875" style="1"/>
    <col min="11263" max="11267" width="18.5703125" style="1" customWidth="1"/>
    <col min="11268" max="11518" width="8.85546875" style="1"/>
    <col min="11519" max="11523" width="18.5703125" style="1" customWidth="1"/>
    <col min="11524" max="11774" width="8.85546875" style="1"/>
    <col min="11775" max="11779" width="18.5703125" style="1" customWidth="1"/>
    <col min="11780" max="12030" width="8.85546875" style="1"/>
    <col min="12031" max="12035" width="18.5703125" style="1" customWidth="1"/>
    <col min="12036" max="12286" width="8.85546875" style="1"/>
    <col min="12287" max="12291" width="18.5703125" style="1" customWidth="1"/>
    <col min="12292" max="12542" width="8.85546875" style="1"/>
    <col min="12543" max="12547" width="18.5703125" style="1" customWidth="1"/>
    <col min="12548" max="12798" width="8.85546875" style="1"/>
    <col min="12799" max="12803" width="18.5703125" style="1" customWidth="1"/>
    <col min="12804" max="13054" width="8.85546875" style="1"/>
    <col min="13055" max="13059" width="18.5703125" style="1" customWidth="1"/>
    <col min="13060" max="13310" width="8.85546875" style="1"/>
    <col min="13311" max="13315" width="18.5703125" style="1" customWidth="1"/>
    <col min="13316" max="13566" width="8.85546875" style="1"/>
    <col min="13567" max="13571" width="18.5703125" style="1" customWidth="1"/>
    <col min="13572" max="13822" width="8.85546875" style="1"/>
    <col min="13823" max="13827" width="18.5703125" style="1" customWidth="1"/>
    <col min="13828" max="14078" width="8.85546875" style="1"/>
    <col min="14079" max="14083" width="18.5703125" style="1" customWidth="1"/>
    <col min="14084" max="14334" width="8.85546875" style="1"/>
    <col min="14335" max="14339" width="18.5703125" style="1" customWidth="1"/>
    <col min="14340" max="14590" width="8.85546875" style="1"/>
    <col min="14591" max="14595" width="18.5703125" style="1" customWidth="1"/>
    <col min="14596" max="14846" width="8.85546875" style="1"/>
    <col min="14847" max="14851" width="18.5703125" style="1" customWidth="1"/>
    <col min="14852" max="15102" width="8.85546875" style="1"/>
    <col min="15103" max="15107" width="18.5703125" style="1" customWidth="1"/>
    <col min="15108" max="15358" width="8.85546875" style="1"/>
    <col min="15359" max="15363" width="18.5703125" style="1" customWidth="1"/>
    <col min="15364" max="15614" width="8.85546875" style="1"/>
    <col min="15615" max="15619" width="18.5703125" style="1" customWidth="1"/>
    <col min="15620" max="15870" width="8.85546875" style="1"/>
    <col min="15871" max="15875" width="18.5703125" style="1" customWidth="1"/>
    <col min="15876" max="16126" width="8.85546875" style="1"/>
    <col min="16127" max="16131" width="18.5703125" style="1" customWidth="1"/>
    <col min="16132" max="16384" width="8.85546875" style="1"/>
  </cols>
  <sheetData>
    <row r="1" spans="1:4" ht="15" customHeight="1" x14ac:dyDescent="0.25">
      <c r="A1" s="100" t="s">
        <v>0</v>
      </c>
      <c r="B1" s="100"/>
      <c r="C1" s="100"/>
      <c r="D1" s="100"/>
    </row>
    <row r="2" spans="1:4" ht="15" customHeight="1" x14ac:dyDescent="0.25">
      <c r="A2" s="100" t="s">
        <v>154</v>
      </c>
      <c r="B2" s="100"/>
      <c r="C2" s="100"/>
      <c r="D2" s="100"/>
    </row>
    <row r="3" spans="1:4" ht="15" customHeight="1" x14ac:dyDescent="0.25">
      <c r="A3" s="101" t="s">
        <v>1</v>
      </c>
      <c r="B3" s="101"/>
      <c r="C3" s="101"/>
      <c r="D3" s="101"/>
    </row>
    <row r="4" spans="1:4" ht="15" customHeight="1" x14ac:dyDescent="0.25">
      <c r="A4" s="101" t="s">
        <v>150</v>
      </c>
      <c r="B4" s="101"/>
      <c r="C4" s="101"/>
      <c r="D4" s="101"/>
    </row>
    <row r="5" spans="1:4" ht="15" customHeight="1" x14ac:dyDescent="0.25">
      <c r="A5" s="101" t="s">
        <v>147</v>
      </c>
      <c r="B5" s="101"/>
      <c r="C5" s="101"/>
      <c r="D5" s="101"/>
    </row>
    <row r="6" spans="1:4" ht="8.25" customHeight="1" x14ac:dyDescent="0.2">
      <c r="A6" s="104" t="s">
        <v>145</v>
      </c>
      <c r="B6" s="104"/>
      <c r="C6" s="104"/>
      <c r="D6" s="104"/>
    </row>
    <row r="7" spans="1:4" ht="15" customHeight="1" x14ac:dyDescent="0.2">
      <c r="A7" s="104"/>
      <c r="B7" s="104"/>
      <c r="C7" s="104"/>
      <c r="D7" s="104"/>
    </row>
    <row r="8" spans="1:4" ht="23.25" customHeight="1" x14ac:dyDescent="0.2">
      <c r="A8" s="104"/>
      <c r="B8" s="104"/>
      <c r="C8" s="104"/>
      <c r="D8" s="104"/>
    </row>
    <row r="9" spans="1:4" ht="15" customHeight="1" x14ac:dyDescent="0.2">
      <c r="A9" s="103" t="s">
        <v>121</v>
      </c>
      <c r="B9" s="103"/>
      <c r="C9" s="103"/>
      <c r="D9" s="103"/>
    </row>
    <row r="10" spans="1:4" ht="9" customHeight="1" x14ac:dyDescent="0.2">
      <c r="A10" s="22"/>
      <c r="B10" s="22"/>
      <c r="C10" s="22"/>
      <c r="D10" s="22"/>
    </row>
    <row r="11" spans="1:4" ht="9" customHeight="1" x14ac:dyDescent="0.2">
      <c r="A11" s="99"/>
      <c r="B11" s="99"/>
      <c r="C11" s="99"/>
      <c r="D11" s="99"/>
    </row>
    <row r="12" spans="1:4" x14ac:dyDescent="0.2">
      <c r="A12" s="3" t="s">
        <v>43</v>
      </c>
      <c r="B12" s="20" t="s">
        <v>44</v>
      </c>
      <c r="C12" s="20" t="s">
        <v>45</v>
      </c>
      <c r="D12" s="20" t="s">
        <v>46</v>
      </c>
    </row>
    <row r="13" spans="1:4" ht="8.25" customHeight="1" x14ac:dyDescent="0.2">
      <c r="A13" s="4"/>
      <c r="B13" s="15"/>
      <c r="C13" s="15"/>
      <c r="D13" s="15"/>
    </row>
    <row r="14" spans="1:4" s="5" customFormat="1" ht="12" customHeight="1" x14ac:dyDescent="0.2">
      <c r="A14" s="4" t="s">
        <v>6</v>
      </c>
      <c r="B14" s="15">
        <v>100000</v>
      </c>
      <c r="C14" s="15">
        <v>35689</v>
      </c>
      <c r="D14" s="15">
        <f t="shared" ref="D14:D21" si="0">+B14+C14</f>
        <v>135689</v>
      </c>
    </row>
    <row r="15" spans="1:4" s="5" customFormat="1" ht="12" customHeight="1" x14ac:dyDescent="0.2">
      <c r="A15" s="4" t="s">
        <v>7</v>
      </c>
      <c r="B15" s="15">
        <v>105000</v>
      </c>
      <c r="C15" s="15">
        <v>31578.75</v>
      </c>
      <c r="D15" s="15">
        <f t="shared" si="0"/>
        <v>136578.75</v>
      </c>
    </row>
    <row r="16" spans="1:4" s="5" customFormat="1" ht="12" customHeight="1" x14ac:dyDescent="0.2">
      <c r="A16" s="4" t="s">
        <v>8</v>
      </c>
      <c r="B16" s="15">
        <v>110000</v>
      </c>
      <c r="C16" s="15">
        <v>27268</v>
      </c>
      <c r="D16" s="15">
        <f t="shared" si="0"/>
        <v>137268</v>
      </c>
    </row>
    <row r="17" spans="1:6" s="5" customFormat="1" ht="12" customHeight="1" x14ac:dyDescent="0.25">
      <c r="A17" s="4" t="s">
        <v>9</v>
      </c>
      <c r="B17" s="15">
        <v>115000</v>
      </c>
      <c r="C17" s="15">
        <v>22756.75</v>
      </c>
      <c r="D17" s="15">
        <f t="shared" si="0"/>
        <v>137756.75</v>
      </c>
      <c r="F17" s="24"/>
    </row>
    <row r="18" spans="1:6" s="5" customFormat="1" ht="12" customHeight="1" x14ac:dyDescent="0.25">
      <c r="A18" s="4" t="s">
        <v>12</v>
      </c>
      <c r="B18" s="15">
        <v>120000</v>
      </c>
      <c r="C18" s="15">
        <v>18045</v>
      </c>
      <c r="D18" s="15">
        <f t="shared" si="0"/>
        <v>138045</v>
      </c>
      <c r="F18" s="24"/>
    </row>
    <row r="19" spans="1:6" s="5" customFormat="1" ht="12" customHeight="1" x14ac:dyDescent="0.2">
      <c r="A19" s="4" t="s">
        <v>18</v>
      </c>
      <c r="B19" s="15">
        <v>125000</v>
      </c>
      <c r="C19" s="15">
        <v>13132.75</v>
      </c>
      <c r="D19" s="15">
        <f t="shared" si="0"/>
        <v>138132.75</v>
      </c>
    </row>
    <row r="20" spans="1:6" s="5" customFormat="1" ht="12" customHeight="1" x14ac:dyDescent="0.2">
      <c r="A20" s="4" t="s">
        <v>19</v>
      </c>
      <c r="B20" s="15">
        <v>130000</v>
      </c>
      <c r="C20" s="15">
        <v>8020</v>
      </c>
      <c r="D20" s="15">
        <f t="shared" si="0"/>
        <v>138020</v>
      </c>
    </row>
    <row r="21" spans="1:6" s="5" customFormat="1" ht="12" customHeight="1" x14ac:dyDescent="0.2">
      <c r="A21" s="4" t="s">
        <v>20</v>
      </c>
      <c r="B21" s="15">
        <v>135000</v>
      </c>
      <c r="C21" s="15">
        <v>2706.75</v>
      </c>
      <c r="D21" s="15">
        <f t="shared" si="0"/>
        <v>137706.75</v>
      </c>
    </row>
    <row r="22" spans="1:6" x14ac:dyDescent="0.2">
      <c r="A22" s="6" t="s">
        <v>4</v>
      </c>
      <c r="B22" s="16">
        <f>SUM(B14:B21)</f>
        <v>940000</v>
      </c>
      <c r="C22" s="16">
        <f>SUM(C14:C21)</f>
        <v>159197</v>
      </c>
      <c r="D22" s="16">
        <f>SUM(D14:D21)</f>
        <v>1099197</v>
      </c>
    </row>
    <row r="23" spans="1:6" x14ac:dyDescent="0.2">
      <c r="A23" s="7"/>
      <c r="B23" s="17"/>
      <c r="C23" s="17"/>
      <c r="D23" s="17"/>
    </row>
    <row r="24" spans="1:6" x14ac:dyDescent="0.2">
      <c r="A24" s="7"/>
      <c r="B24" s="17"/>
      <c r="C24" s="17"/>
      <c r="D24" s="17"/>
    </row>
    <row r="25" spans="1:6" x14ac:dyDescent="0.2">
      <c r="A25" s="7"/>
      <c r="B25" s="17"/>
      <c r="C25" s="17"/>
      <c r="D25" s="17"/>
    </row>
    <row r="26" spans="1:6" x14ac:dyDescent="0.2">
      <c r="A26" s="7"/>
      <c r="B26" s="17"/>
      <c r="C26" s="17"/>
      <c r="D26" s="17"/>
    </row>
    <row r="27" spans="1:6" x14ac:dyDescent="0.2">
      <c r="A27" s="7"/>
      <c r="B27" s="17"/>
      <c r="C27" s="17"/>
      <c r="D27" s="17"/>
    </row>
    <row r="28" spans="1:6" x14ac:dyDescent="0.2">
      <c r="A28" s="7"/>
      <c r="B28" s="17"/>
      <c r="C28" s="17"/>
      <c r="D28" s="17"/>
    </row>
    <row r="29" spans="1:6" x14ac:dyDescent="0.2">
      <c r="A29" s="7"/>
      <c r="B29" s="17"/>
      <c r="C29" s="17"/>
      <c r="D29" s="17"/>
    </row>
    <row r="30" spans="1:6" x14ac:dyDescent="0.2">
      <c r="A30" s="7"/>
      <c r="B30" s="17"/>
      <c r="C30" s="17"/>
      <c r="D30" s="17"/>
    </row>
    <row r="31" spans="1:6" x14ac:dyDescent="0.2">
      <c r="B31" s="17"/>
      <c r="C31" s="17"/>
      <c r="D31" s="17"/>
    </row>
    <row r="32" spans="1:6" x14ac:dyDescent="0.2">
      <c r="B32" s="17"/>
      <c r="C32" s="17"/>
      <c r="D32" s="17"/>
    </row>
    <row r="33" spans="2:4" x14ac:dyDescent="0.2">
      <c r="B33" s="17"/>
      <c r="C33" s="17"/>
      <c r="D33" s="17"/>
    </row>
    <row r="34" spans="2:4" x14ac:dyDescent="0.2">
      <c r="B34" s="17"/>
      <c r="C34" s="17"/>
      <c r="D34" s="17"/>
    </row>
    <row r="35" spans="2:4" x14ac:dyDescent="0.2">
      <c r="B35" s="17"/>
      <c r="C35" s="17"/>
      <c r="D35" s="17"/>
    </row>
    <row r="36" spans="2:4" x14ac:dyDescent="0.2">
      <c r="B36" s="17"/>
      <c r="C36" s="17"/>
      <c r="D36" s="17"/>
    </row>
    <row r="37" spans="2:4" x14ac:dyDescent="0.2">
      <c r="B37" s="17"/>
      <c r="C37" s="17"/>
      <c r="D37" s="17"/>
    </row>
    <row r="38" spans="2:4" x14ac:dyDescent="0.2">
      <c r="B38" s="17"/>
      <c r="C38" s="17"/>
      <c r="D38" s="17"/>
    </row>
    <row r="39" spans="2:4" x14ac:dyDescent="0.2">
      <c r="B39" s="17"/>
      <c r="C39" s="17"/>
      <c r="D39" s="17"/>
    </row>
    <row r="40" spans="2:4" x14ac:dyDescent="0.2">
      <c r="B40" s="17"/>
      <c r="C40" s="17"/>
      <c r="D40" s="17"/>
    </row>
  </sheetData>
  <mergeCells count="8">
    <mergeCell ref="A9:D9"/>
    <mergeCell ref="A11:D11"/>
    <mergeCell ref="A1:D1"/>
    <mergeCell ref="A2:D2"/>
    <mergeCell ref="A3:D3"/>
    <mergeCell ref="A4:D4"/>
    <mergeCell ref="A5:D5"/>
    <mergeCell ref="A6:D8"/>
  </mergeCells>
  <pageMargins left="0.75" right="0.4" top="0.75" bottom="0.75" header="0.5" footer="0.5"/>
  <pageSetup scale="90" firstPageNumber="0" orientation="portrait" useFirstPageNumber="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988FD-0EA5-4AC9-89C8-BE6E5CFB028F}">
  <dimension ref="A1:F51"/>
  <sheetViews>
    <sheetView workbookViewId="0">
      <selection activeCell="H34" sqref="H34"/>
    </sheetView>
  </sheetViews>
  <sheetFormatPr defaultRowHeight="12.75" x14ac:dyDescent="0.2"/>
  <cols>
    <col min="1" max="4" width="25" style="12" customWidth="1"/>
    <col min="5" max="254" width="8.85546875" style="1"/>
    <col min="255" max="259" width="18.5703125" style="1" customWidth="1"/>
    <col min="260" max="510" width="8.85546875" style="1"/>
    <col min="511" max="515" width="18.5703125" style="1" customWidth="1"/>
    <col min="516" max="766" width="8.85546875" style="1"/>
    <col min="767" max="771" width="18.5703125" style="1" customWidth="1"/>
    <col min="772" max="1022" width="8.85546875" style="1"/>
    <col min="1023" max="1027" width="18.5703125" style="1" customWidth="1"/>
    <col min="1028" max="1278" width="8.85546875" style="1"/>
    <col min="1279" max="1283" width="18.5703125" style="1" customWidth="1"/>
    <col min="1284" max="1534" width="8.85546875" style="1"/>
    <col min="1535" max="1539" width="18.5703125" style="1" customWidth="1"/>
    <col min="1540" max="1790" width="8.85546875" style="1"/>
    <col min="1791" max="1795" width="18.5703125" style="1" customWidth="1"/>
    <col min="1796" max="2046" width="8.85546875" style="1"/>
    <col min="2047" max="2051" width="18.5703125" style="1" customWidth="1"/>
    <col min="2052" max="2302" width="8.85546875" style="1"/>
    <col min="2303" max="2307" width="18.5703125" style="1" customWidth="1"/>
    <col min="2308" max="2558" width="8.85546875" style="1"/>
    <col min="2559" max="2563" width="18.5703125" style="1" customWidth="1"/>
    <col min="2564" max="2814" width="8.85546875" style="1"/>
    <col min="2815" max="2819" width="18.5703125" style="1" customWidth="1"/>
    <col min="2820" max="3070" width="8.85546875" style="1"/>
    <col min="3071" max="3075" width="18.5703125" style="1" customWidth="1"/>
    <col min="3076" max="3326" width="8.85546875" style="1"/>
    <col min="3327" max="3331" width="18.5703125" style="1" customWidth="1"/>
    <col min="3332" max="3582" width="8.85546875" style="1"/>
    <col min="3583" max="3587" width="18.5703125" style="1" customWidth="1"/>
    <col min="3588" max="3838" width="8.85546875" style="1"/>
    <col min="3839" max="3843" width="18.5703125" style="1" customWidth="1"/>
    <col min="3844" max="4094" width="8.85546875" style="1"/>
    <col min="4095" max="4099" width="18.5703125" style="1" customWidth="1"/>
    <col min="4100" max="4350" width="8.85546875" style="1"/>
    <col min="4351" max="4355" width="18.5703125" style="1" customWidth="1"/>
    <col min="4356" max="4606" width="8.85546875" style="1"/>
    <col min="4607" max="4611" width="18.5703125" style="1" customWidth="1"/>
    <col min="4612" max="4862" width="8.85546875" style="1"/>
    <col min="4863" max="4867" width="18.5703125" style="1" customWidth="1"/>
    <col min="4868" max="5118" width="8.85546875" style="1"/>
    <col min="5119" max="5123" width="18.5703125" style="1" customWidth="1"/>
    <col min="5124" max="5374" width="8.85546875" style="1"/>
    <col min="5375" max="5379" width="18.5703125" style="1" customWidth="1"/>
    <col min="5380" max="5630" width="8.85546875" style="1"/>
    <col min="5631" max="5635" width="18.5703125" style="1" customWidth="1"/>
    <col min="5636" max="5886" width="8.85546875" style="1"/>
    <col min="5887" max="5891" width="18.5703125" style="1" customWidth="1"/>
    <col min="5892" max="6142" width="8.85546875" style="1"/>
    <col min="6143" max="6147" width="18.5703125" style="1" customWidth="1"/>
    <col min="6148" max="6398" width="8.85546875" style="1"/>
    <col min="6399" max="6403" width="18.5703125" style="1" customWidth="1"/>
    <col min="6404" max="6654" width="8.85546875" style="1"/>
    <col min="6655" max="6659" width="18.5703125" style="1" customWidth="1"/>
    <col min="6660" max="6910" width="8.85546875" style="1"/>
    <col min="6911" max="6915" width="18.5703125" style="1" customWidth="1"/>
    <col min="6916" max="7166" width="8.85546875" style="1"/>
    <col min="7167" max="7171" width="18.5703125" style="1" customWidth="1"/>
    <col min="7172" max="7422" width="8.85546875" style="1"/>
    <col min="7423" max="7427" width="18.5703125" style="1" customWidth="1"/>
    <col min="7428" max="7678" width="8.85546875" style="1"/>
    <col min="7679" max="7683" width="18.5703125" style="1" customWidth="1"/>
    <col min="7684" max="7934" width="8.85546875" style="1"/>
    <col min="7935" max="7939" width="18.5703125" style="1" customWidth="1"/>
    <col min="7940" max="8190" width="8.85546875" style="1"/>
    <col min="8191" max="8195" width="18.5703125" style="1" customWidth="1"/>
    <col min="8196" max="8446" width="8.85546875" style="1"/>
    <col min="8447" max="8451" width="18.5703125" style="1" customWidth="1"/>
    <col min="8452" max="8702" width="8.85546875" style="1"/>
    <col min="8703" max="8707" width="18.5703125" style="1" customWidth="1"/>
    <col min="8708" max="8958" width="8.85546875" style="1"/>
    <col min="8959" max="8963" width="18.5703125" style="1" customWidth="1"/>
    <col min="8964" max="9214" width="8.85546875" style="1"/>
    <col min="9215" max="9219" width="18.5703125" style="1" customWidth="1"/>
    <col min="9220" max="9470" width="8.85546875" style="1"/>
    <col min="9471" max="9475" width="18.5703125" style="1" customWidth="1"/>
    <col min="9476" max="9726" width="8.85546875" style="1"/>
    <col min="9727" max="9731" width="18.5703125" style="1" customWidth="1"/>
    <col min="9732" max="9982" width="8.85546875" style="1"/>
    <col min="9983" max="9987" width="18.5703125" style="1" customWidth="1"/>
    <col min="9988" max="10238" width="8.85546875" style="1"/>
    <col min="10239" max="10243" width="18.5703125" style="1" customWidth="1"/>
    <col min="10244" max="10494" width="8.85546875" style="1"/>
    <col min="10495" max="10499" width="18.5703125" style="1" customWidth="1"/>
    <col min="10500" max="10750" width="8.85546875" style="1"/>
    <col min="10751" max="10755" width="18.5703125" style="1" customWidth="1"/>
    <col min="10756" max="11006" width="8.85546875" style="1"/>
    <col min="11007" max="11011" width="18.5703125" style="1" customWidth="1"/>
    <col min="11012" max="11262" width="8.85546875" style="1"/>
    <col min="11263" max="11267" width="18.5703125" style="1" customWidth="1"/>
    <col min="11268" max="11518" width="8.85546875" style="1"/>
    <col min="11519" max="11523" width="18.5703125" style="1" customWidth="1"/>
    <col min="11524" max="11774" width="8.85546875" style="1"/>
    <col min="11775" max="11779" width="18.5703125" style="1" customWidth="1"/>
    <col min="11780" max="12030" width="8.85546875" style="1"/>
    <col min="12031" max="12035" width="18.5703125" style="1" customWidth="1"/>
    <col min="12036" max="12286" width="8.85546875" style="1"/>
    <col min="12287" max="12291" width="18.5703125" style="1" customWidth="1"/>
    <col min="12292" max="12542" width="8.85546875" style="1"/>
    <col min="12543" max="12547" width="18.5703125" style="1" customWidth="1"/>
    <col min="12548" max="12798" width="8.85546875" style="1"/>
    <col min="12799" max="12803" width="18.5703125" style="1" customWidth="1"/>
    <col min="12804" max="13054" width="8.85546875" style="1"/>
    <col min="13055" max="13059" width="18.5703125" style="1" customWidth="1"/>
    <col min="13060" max="13310" width="8.85546875" style="1"/>
    <col min="13311" max="13315" width="18.5703125" style="1" customWidth="1"/>
    <col min="13316" max="13566" width="8.85546875" style="1"/>
    <col min="13567" max="13571" width="18.5703125" style="1" customWidth="1"/>
    <col min="13572" max="13822" width="8.85546875" style="1"/>
    <col min="13823" max="13827" width="18.5703125" style="1" customWidth="1"/>
    <col min="13828" max="14078" width="8.85546875" style="1"/>
    <col min="14079" max="14083" width="18.5703125" style="1" customWidth="1"/>
    <col min="14084" max="14334" width="8.85546875" style="1"/>
    <col min="14335" max="14339" width="18.5703125" style="1" customWidth="1"/>
    <col min="14340" max="14590" width="8.85546875" style="1"/>
    <col min="14591" max="14595" width="18.5703125" style="1" customWidth="1"/>
    <col min="14596" max="14846" width="8.85546875" style="1"/>
    <col min="14847" max="14851" width="18.5703125" style="1" customWidth="1"/>
    <col min="14852" max="15102" width="8.85546875" style="1"/>
    <col min="15103" max="15107" width="18.5703125" style="1" customWidth="1"/>
    <col min="15108" max="15358" width="8.85546875" style="1"/>
    <col min="15359" max="15363" width="18.5703125" style="1" customWidth="1"/>
    <col min="15364" max="15614" width="8.85546875" style="1"/>
    <col min="15615" max="15619" width="18.5703125" style="1" customWidth="1"/>
    <col min="15620" max="15870" width="8.85546875" style="1"/>
    <col min="15871" max="15875" width="18.5703125" style="1" customWidth="1"/>
    <col min="15876" max="16126" width="8.85546875" style="1"/>
    <col min="16127" max="16131" width="18.5703125" style="1" customWidth="1"/>
    <col min="16132" max="16384" width="8.85546875" style="1"/>
  </cols>
  <sheetData>
    <row r="1" spans="1:4" ht="15" customHeight="1" x14ac:dyDescent="0.25">
      <c r="A1" s="100" t="s">
        <v>0</v>
      </c>
      <c r="B1" s="100"/>
      <c r="C1" s="100"/>
      <c r="D1" s="100"/>
    </row>
    <row r="2" spans="1:4" ht="15" customHeight="1" x14ac:dyDescent="0.25">
      <c r="A2" s="100" t="s">
        <v>154</v>
      </c>
      <c r="B2" s="100"/>
      <c r="C2" s="100"/>
      <c r="D2" s="100"/>
    </row>
    <row r="3" spans="1:4" ht="15" customHeight="1" x14ac:dyDescent="0.25">
      <c r="A3" s="101" t="s">
        <v>1</v>
      </c>
      <c r="B3" s="101"/>
      <c r="C3" s="101"/>
      <c r="D3" s="101"/>
    </row>
    <row r="4" spans="1:4" ht="15" customHeight="1" x14ac:dyDescent="0.25">
      <c r="A4" s="101" t="s">
        <v>149</v>
      </c>
      <c r="B4" s="101"/>
      <c r="C4" s="101"/>
      <c r="D4" s="101"/>
    </row>
    <row r="5" spans="1:4" ht="15" customHeight="1" x14ac:dyDescent="0.25">
      <c r="A5" s="101" t="s">
        <v>146</v>
      </c>
      <c r="B5" s="101"/>
      <c r="C5" s="101"/>
      <c r="D5" s="101"/>
    </row>
    <row r="6" spans="1:4" ht="8.25" customHeight="1" x14ac:dyDescent="0.2">
      <c r="A6" s="104" t="s">
        <v>148</v>
      </c>
      <c r="B6" s="104"/>
      <c r="C6" s="104"/>
      <c r="D6" s="104"/>
    </row>
    <row r="7" spans="1:4" ht="15" customHeight="1" x14ac:dyDescent="0.2">
      <c r="A7" s="104"/>
      <c r="B7" s="104"/>
      <c r="C7" s="104"/>
      <c r="D7" s="104"/>
    </row>
    <row r="8" spans="1:4" ht="23.25" customHeight="1" x14ac:dyDescent="0.2">
      <c r="A8" s="104"/>
      <c r="B8" s="104"/>
      <c r="C8" s="104"/>
      <c r="D8" s="104"/>
    </row>
    <row r="9" spans="1:4" ht="15" customHeight="1" x14ac:dyDescent="0.2">
      <c r="A9" s="103" t="s">
        <v>120</v>
      </c>
      <c r="B9" s="103"/>
      <c r="C9" s="103"/>
      <c r="D9" s="103"/>
    </row>
    <row r="10" spans="1:4" ht="9" customHeight="1" x14ac:dyDescent="0.2">
      <c r="A10" s="22"/>
      <c r="B10" s="22"/>
      <c r="C10" s="22"/>
      <c r="D10" s="22"/>
    </row>
    <row r="11" spans="1:4" ht="9" customHeight="1" x14ac:dyDescent="0.2">
      <c r="A11" s="99"/>
      <c r="B11" s="99"/>
      <c r="C11" s="99"/>
      <c r="D11" s="99"/>
    </row>
    <row r="12" spans="1:4" x14ac:dyDescent="0.2">
      <c r="A12" s="3" t="s">
        <v>43</v>
      </c>
      <c r="B12" s="20" t="s">
        <v>44</v>
      </c>
      <c r="C12" s="20" t="s">
        <v>45</v>
      </c>
      <c r="D12" s="20" t="s">
        <v>46</v>
      </c>
    </row>
    <row r="13" spans="1:4" ht="8.25" customHeight="1" x14ac:dyDescent="0.2">
      <c r="A13" s="4"/>
      <c r="B13" s="15"/>
      <c r="C13" s="15"/>
      <c r="D13" s="15"/>
    </row>
    <row r="14" spans="1:4" s="5" customFormat="1" ht="12" customHeight="1" x14ac:dyDescent="0.2">
      <c r="A14" s="46">
        <v>45930</v>
      </c>
      <c r="B14" s="15">
        <v>1285000</v>
      </c>
      <c r="C14" s="15">
        <v>1784137.5</v>
      </c>
      <c r="D14" s="15">
        <v>3069137.5</v>
      </c>
    </row>
    <row r="15" spans="1:4" s="5" customFormat="1" ht="12" customHeight="1" x14ac:dyDescent="0.2">
      <c r="A15" s="46">
        <v>46295</v>
      </c>
      <c r="B15" s="15">
        <v>1355000</v>
      </c>
      <c r="C15" s="15">
        <v>1718137.5</v>
      </c>
      <c r="D15" s="15">
        <v>3073137.5</v>
      </c>
    </row>
    <row r="16" spans="1:4" s="5" customFormat="1" ht="12" customHeight="1" x14ac:dyDescent="0.2">
      <c r="A16" s="46">
        <v>46660</v>
      </c>
      <c r="B16" s="15">
        <v>1415000</v>
      </c>
      <c r="C16" s="15">
        <v>1655962.5</v>
      </c>
      <c r="D16" s="15">
        <v>3070962.5</v>
      </c>
    </row>
    <row r="17" spans="1:6" s="5" customFormat="1" ht="12" customHeight="1" x14ac:dyDescent="0.25">
      <c r="A17" s="46">
        <v>47026</v>
      </c>
      <c r="B17" s="15">
        <v>1475000</v>
      </c>
      <c r="C17" s="15">
        <v>1598162.5</v>
      </c>
      <c r="D17" s="15">
        <v>3073162.5</v>
      </c>
      <c r="F17" s="24"/>
    </row>
    <row r="18" spans="1:6" s="5" customFormat="1" ht="12" customHeight="1" x14ac:dyDescent="0.25">
      <c r="A18" s="46">
        <v>47391</v>
      </c>
      <c r="B18" s="15">
        <v>1540000</v>
      </c>
      <c r="C18" s="15">
        <v>1530162.5</v>
      </c>
      <c r="D18" s="15">
        <v>3070162.5</v>
      </c>
      <c r="F18" s="24"/>
    </row>
    <row r="19" spans="1:6" s="5" customFormat="1" ht="12" customHeight="1" x14ac:dyDescent="0.2">
      <c r="A19" s="46">
        <v>47756</v>
      </c>
      <c r="B19" s="15">
        <v>1620000</v>
      </c>
      <c r="C19" s="15">
        <v>1451162.5</v>
      </c>
      <c r="D19" s="15">
        <v>3071162.5</v>
      </c>
    </row>
    <row r="20" spans="1:6" s="5" customFormat="1" ht="12" customHeight="1" x14ac:dyDescent="0.2">
      <c r="A20" s="46">
        <v>48121</v>
      </c>
      <c r="B20" s="15">
        <v>1705000</v>
      </c>
      <c r="C20" s="15">
        <v>1368037.5</v>
      </c>
      <c r="D20" s="15">
        <v>3073037.5</v>
      </c>
    </row>
    <row r="21" spans="1:6" s="5" customFormat="1" ht="12" customHeight="1" x14ac:dyDescent="0.2">
      <c r="A21" s="46">
        <v>48487</v>
      </c>
      <c r="B21" s="15">
        <v>1790000</v>
      </c>
      <c r="C21" s="15">
        <v>1280662.5</v>
      </c>
      <c r="D21" s="15">
        <v>3070662.5</v>
      </c>
    </row>
    <row r="22" spans="1:6" s="5" customFormat="1" ht="12" customHeight="1" x14ac:dyDescent="0.2">
      <c r="A22" s="46">
        <v>48852</v>
      </c>
      <c r="B22" s="15">
        <v>1880000</v>
      </c>
      <c r="C22" s="15">
        <v>1188912.5</v>
      </c>
      <c r="D22" s="15">
        <v>3068912.5</v>
      </c>
    </row>
    <row r="23" spans="1:6" s="5" customFormat="1" ht="12" customHeight="1" x14ac:dyDescent="0.2">
      <c r="A23" s="46">
        <v>49217</v>
      </c>
      <c r="B23" s="15">
        <v>1980000</v>
      </c>
      <c r="C23" s="15">
        <v>1092412.5</v>
      </c>
      <c r="D23" s="15">
        <v>3072412.5</v>
      </c>
    </row>
    <row r="24" spans="1:6" s="5" customFormat="1" ht="12" customHeight="1" x14ac:dyDescent="0.2">
      <c r="A24" s="46">
        <v>49582</v>
      </c>
      <c r="B24" s="15">
        <v>2080000</v>
      </c>
      <c r="C24" s="15">
        <v>990912.5</v>
      </c>
      <c r="D24" s="15">
        <v>3070912.5</v>
      </c>
    </row>
    <row r="25" spans="1:6" s="5" customFormat="1" ht="12" customHeight="1" x14ac:dyDescent="0.2">
      <c r="A25" s="46">
        <v>49948</v>
      </c>
      <c r="B25" s="15">
        <v>2185000</v>
      </c>
      <c r="C25" s="15">
        <v>884287.5</v>
      </c>
      <c r="D25" s="15">
        <v>3069287.5</v>
      </c>
    </row>
    <row r="26" spans="1:6" s="5" customFormat="1" ht="12" customHeight="1" x14ac:dyDescent="0.2">
      <c r="A26" s="46">
        <v>50313</v>
      </c>
      <c r="B26" s="15">
        <v>2300000</v>
      </c>
      <c r="C26" s="15">
        <v>772162.5</v>
      </c>
      <c r="D26" s="15">
        <v>3072162.5</v>
      </c>
    </row>
    <row r="27" spans="1:6" s="5" customFormat="1" ht="12" customHeight="1" x14ac:dyDescent="0.2">
      <c r="A27" s="46">
        <v>50678</v>
      </c>
      <c r="B27" s="15">
        <v>2415000</v>
      </c>
      <c r="C27" s="15">
        <v>654287.5</v>
      </c>
      <c r="D27" s="15">
        <v>3069287.5</v>
      </c>
    </row>
    <row r="28" spans="1:6" s="5" customFormat="1" ht="12" customHeight="1" x14ac:dyDescent="0.2">
      <c r="A28" s="46">
        <v>51043</v>
      </c>
      <c r="B28" s="15">
        <v>2540000</v>
      </c>
      <c r="C28" s="15">
        <v>530412.5</v>
      </c>
      <c r="D28" s="15">
        <v>3070412.5</v>
      </c>
    </row>
    <row r="29" spans="1:6" s="5" customFormat="1" ht="12" customHeight="1" x14ac:dyDescent="0.2">
      <c r="A29" s="46">
        <v>51409</v>
      </c>
      <c r="B29" s="15">
        <v>2655000</v>
      </c>
      <c r="C29" s="15">
        <v>413812.5</v>
      </c>
      <c r="D29" s="15">
        <v>3068812.5</v>
      </c>
    </row>
    <row r="30" spans="1:6" s="5" customFormat="1" ht="12" customHeight="1" x14ac:dyDescent="0.2">
      <c r="A30" s="46">
        <v>51774</v>
      </c>
      <c r="B30" s="15">
        <v>2765000</v>
      </c>
      <c r="C30" s="15">
        <v>305412.5</v>
      </c>
      <c r="D30" s="15">
        <v>3070412.5</v>
      </c>
    </row>
    <row r="31" spans="1:6" s="5" customFormat="1" ht="12" customHeight="1" x14ac:dyDescent="0.2">
      <c r="A31" s="46">
        <v>52139</v>
      </c>
      <c r="B31" s="15">
        <v>2880000</v>
      </c>
      <c r="C31" s="15">
        <v>188912.5</v>
      </c>
      <c r="D31" s="15">
        <v>3068912.5</v>
      </c>
    </row>
    <row r="32" spans="1:6" s="5" customFormat="1" ht="12" customHeight="1" x14ac:dyDescent="0.2">
      <c r="A32" s="46">
        <v>52504</v>
      </c>
      <c r="B32" s="15">
        <v>3005000</v>
      </c>
      <c r="C32" s="15">
        <v>63856.25</v>
      </c>
      <c r="D32" s="15">
        <v>3068856.25</v>
      </c>
    </row>
    <row r="33" spans="1:4" x14ac:dyDescent="0.2">
      <c r="A33" s="6" t="s">
        <v>4</v>
      </c>
      <c r="B33" s="16">
        <f>SUM(B14:B32)</f>
        <v>38870000</v>
      </c>
      <c r="C33" s="16">
        <f>SUM(C14:C32)</f>
        <v>19471806.25</v>
      </c>
      <c r="D33" s="16">
        <f>SUM(D14:D32)</f>
        <v>58341806.25</v>
      </c>
    </row>
    <row r="34" spans="1:4" x14ac:dyDescent="0.2">
      <c r="A34" s="7"/>
      <c r="B34" s="17"/>
      <c r="C34" s="17"/>
      <c r="D34" s="17"/>
    </row>
    <row r="35" spans="1:4" x14ac:dyDescent="0.2">
      <c r="A35" s="7"/>
      <c r="B35" s="17"/>
      <c r="C35" s="17"/>
      <c r="D35" s="17"/>
    </row>
    <row r="36" spans="1:4" x14ac:dyDescent="0.2">
      <c r="A36" s="7"/>
      <c r="B36" s="17"/>
      <c r="C36" s="17"/>
      <c r="D36" s="17"/>
    </row>
    <row r="37" spans="1:4" x14ac:dyDescent="0.2">
      <c r="A37" s="7"/>
      <c r="B37" s="17"/>
      <c r="C37" s="17"/>
      <c r="D37" s="17"/>
    </row>
    <row r="38" spans="1:4" x14ac:dyDescent="0.2">
      <c r="A38" s="7"/>
      <c r="B38" s="17"/>
      <c r="C38" s="17"/>
      <c r="D38" s="17"/>
    </row>
    <row r="39" spans="1:4" x14ac:dyDescent="0.2">
      <c r="A39" s="7"/>
      <c r="B39" s="17"/>
      <c r="C39" s="17"/>
      <c r="D39" s="17"/>
    </row>
    <row r="40" spans="1:4" x14ac:dyDescent="0.2">
      <c r="A40" s="7"/>
      <c r="B40" s="17"/>
      <c r="C40" s="17"/>
      <c r="D40" s="17"/>
    </row>
    <row r="41" spans="1:4" x14ac:dyDescent="0.2">
      <c r="A41" s="7"/>
      <c r="B41" s="17"/>
      <c r="C41" s="17"/>
      <c r="D41" s="17"/>
    </row>
    <row r="42" spans="1:4" x14ac:dyDescent="0.2">
      <c r="B42" s="17"/>
      <c r="C42" s="17"/>
      <c r="D42" s="17"/>
    </row>
    <row r="43" spans="1:4" x14ac:dyDescent="0.2">
      <c r="B43" s="17"/>
      <c r="C43" s="17"/>
      <c r="D43" s="17"/>
    </row>
    <row r="44" spans="1:4" x14ac:dyDescent="0.2">
      <c r="B44" s="17"/>
      <c r="C44" s="17"/>
      <c r="D44" s="17"/>
    </row>
    <row r="45" spans="1:4" x14ac:dyDescent="0.2">
      <c r="B45" s="17"/>
      <c r="C45" s="17"/>
      <c r="D45" s="17"/>
    </row>
    <row r="46" spans="1:4" x14ac:dyDescent="0.2">
      <c r="B46" s="17"/>
      <c r="C46" s="17"/>
      <c r="D46" s="17"/>
    </row>
    <row r="47" spans="1:4" x14ac:dyDescent="0.2">
      <c r="B47" s="17"/>
      <c r="C47" s="17"/>
      <c r="D47" s="17"/>
    </row>
    <row r="48" spans="1:4" x14ac:dyDescent="0.2">
      <c r="B48" s="17"/>
      <c r="C48" s="17"/>
      <c r="D48" s="17"/>
    </row>
    <row r="49" spans="2:4" x14ac:dyDescent="0.2">
      <c r="B49" s="17"/>
      <c r="C49" s="17"/>
      <c r="D49" s="17"/>
    </row>
    <row r="50" spans="2:4" x14ac:dyDescent="0.2">
      <c r="B50" s="17"/>
      <c r="C50" s="17"/>
      <c r="D50" s="17"/>
    </row>
    <row r="51" spans="2:4" x14ac:dyDescent="0.2">
      <c r="B51" s="17"/>
      <c r="C51" s="17"/>
      <c r="D51" s="17"/>
    </row>
  </sheetData>
  <mergeCells count="8">
    <mergeCell ref="A9:D9"/>
    <mergeCell ref="A11:D11"/>
    <mergeCell ref="A1:D1"/>
    <mergeCell ref="A2:D2"/>
    <mergeCell ref="A3:D3"/>
    <mergeCell ref="A4:D4"/>
    <mergeCell ref="A5:D5"/>
    <mergeCell ref="A6:D8"/>
  </mergeCells>
  <pageMargins left="0.75" right="0.4" top="0.75" bottom="0.75" header="0.5" footer="0.5"/>
  <pageSetup scale="90" firstPageNumber="0" orientation="portrait" useFirstPageNumber="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97C33-EE69-4551-A3E2-FDD2B25AB2EB}">
  <dimension ref="A1:Q62"/>
  <sheetViews>
    <sheetView topLeftCell="A3" workbookViewId="0">
      <selection activeCell="P29" sqref="P29"/>
    </sheetView>
  </sheetViews>
  <sheetFormatPr defaultRowHeight="12.75" x14ac:dyDescent="0.2"/>
  <cols>
    <col min="1" max="1" width="25" style="12" customWidth="1"/>
    <col min="2" max="2" width="16" style="12" hidden="1" customWidth="1"/>
    <col min="3" max="3" width="13.5703125" style="12" hidden="1" customWidth="1"/>
    <col min="4" max="4" width="25" style="12" customWidth="1"/>
    <col min="5" max="5" width="11" style="12" hidden="1" customWidth="1"/>
    <col min="6" max="6" width="13.5703125" style="12" hidden="1" customWidth="1"/>
    <col min="7" max="8" width="25" style="12" customWidth="1"/>
    <col min="9" max="12" width="9.140625" style="1"/>
    <col min="13" max="13" width="12.5703125" style="1" customWidth="1"/>
    <col min="14" max="14" width="10.42578125" style="1" customWidth="1"/>
    <col min="15" max="16" width="10" style="1" customWidth="1"/>
    <col min="17" max="17" width="9.140625" style="1" customWidth="1"/>
    <col min="18" max="257" width="9.140625" style="1"/>
    <col min="258" max="262" width="18.5703125" style="1" customWidth="1"/>
    <col min="263" max="513" width="9.140625" style="1"/>
    <col min="514" max="518" width="18.5703125" style="1" customWidth="1"/>
    <col min="519" max="769" width="9.140625" style="1"/>
    <col min="770" max="774" width="18.5703125" style="1" customWidth="1"/>
    <col min="775" max="1025" width="9.140625" style="1"/>
    <col min="1026" max="1030" width="18.5703125" style="1" customWidth="1"/>
    <col min="1031" max="1281" width="9.140625" style="1"/>
    <col min="1282" max="1286" width="18.5703125" style="1" customWidth="1"/>
    <col min="1287" max="1537" width="9.140625" style="1"/>
    <col min="1538" max="1542" width="18.5703125" style="1" customWidth="1"/>
    <col min="1543" max="1793" width="9.140625" style="1"/>
    <col min="1794" max="1798" width="18.5703125" style="1" customWidth="1"/>
    <col min="1799" max="2049" width="9.140625" style="1"/>
    <col min="2050" max="2054" width="18.5703125" style="1" customWidth="1"/>
    <col min="2055" max="2305" width="9.140625" style="1"/>
    <col min="2306" max="2310" width="18.5703125" style="1" customWidth="1"/>
    <col min="2311" max="2561" width="9.140625" style="1"/>
    <col min="2562" max="2566" width="18.5703125" style="1" customWidth="1"/>
    <col min="2567" max="2817" width="9.140625" style="1"/>
    <col min="2818" max="2822" width="18.5703125" style="1" customWidth="1"/>
    <col min="2823" max="3073" width="9.140625" style="1"/>
    <col min="3074" max="3078" width="18.5703125" style="1" customWidth="1"/>
    <col min="3079" max="3329" width="9.140625" style="1"/>
    <col min="3330" max="3334" width="18.5703125" style="1" customWidth="1"/>
    <col min="3335" max="3585" width="9.140625" style="1"/>
    <col min="3586" max="3590" width="18.5703125" style="1" customWidth="1"/>
    <col min="3591" max="3841" width="9.140625" style="1"/>
    <col min="3842" max="3846" width="18.5703125" style="1" customWidth="1"/>
    <col min="3847" max="4097" width="9.140625" style="1"/>
    <col min="4098" max="4102" width="18.5703125" style="1" customWidth="1"/>
    <col min="4103" max="4353" width="9.140625" style="1"/>
    <col min="4354" max="4358" width="18.5703125" style="1" customWidth="1"/>
    <col min="4359" max="4609" width="9.140625" style="1"/>
    <col min="4610" max="4614" width="18.5703125" style="1" customWidth="1"/>
    <col min="4615" max="4865" width="9.140625" style="1"/>
    <col min="4866" max="4870" width="18.5703125" style="1" customWidth="1"/>
    <col min="4871" max="5121" width="9.140625" style="1"/>
    <col min="5122" max="5126" width="18.5703125" style="1" customWidth="1"/>
    <col min="5127" max="5377" width="9.140625" style="1"/>
    <col min="5378" max="5382" width="18.5703125" style="1" customWidth="1"/>
    <col min="5383" max="5633" width="9.140625" style="1"/>
    <col min="5634" max="5638" width="18.5703125" style="1" customWidth="1"/>
    <col min="5639" max="5889" width="9.140625" style="1"/>
    <col min="5890" max="5894" width="18.5703125" style="1" customWidth="1"/>
    <col min="5895" max="6145" width="9.140625" style="1"/>
    <col min="6146" max="6150" width="18.5703125" style="1" customWidth="1"/>
    <col min="6151" max="6401" width="9.140625" style="1"/>
    <col min="6402" max="6406" width="18.5703125" style="1" customWidth="1"/>
    <col min="6407" max="6657" width="9.140625" style="1"/>
    <col min="6658" max="6662" width="18.5703125" style="1" customWidth="1"/>
    <col min="6663" max="6913" width="9.140625" style="1"/>
    <col min="6914" max="6918" width="18.5703125" style="1" customWidth="1"/>
    <col min="6919" max="7169" width="9.140625" style="1"/>
    <col min="7170" max="7174" width="18.5703125" style="1" customWidth="1"/>
    <col min="7175" max="7425" width="9.140625" style="1"/>
    <col min="7426" max="7430" width="18.5703125" style="1" customWidth="1"/>
    <col min="7431" max="7681" width="9.140625" style="1"/>
    <col min="7682" max="7686" width="18.5703125" style="1" customWidth="1"/>
    <col min="7687" max="7937" width="9.140625" style="1"/>
    <col min="7938" max="7942" width="18.5703125" style="1" customWidth="1"/>
    <col min="7943" max="8193" width="9.140625" style="1"/>
    <col min="8194" max="8198" width="18.5703125" style="1" customWidth="1"/>
    <col min="8199" max="8449" width="9.140625" style="1"/>
    <col min="8450" max="8454" width="18.5703125" style="1" customWidth="1"/>
    <col min="8455" max="8705" width="9.140625" style="1"/>
    <col min="8706" max="8710" width="18.5703125" style="1" customWidth="1"/>
    <col min="8711" max="8961" width="9.140625" style="1"/>
    <col min="8962" max="8966" width="18.5703125" style="1" customWidth="1"/>
    <col min="8967" max="9217" width="9.140625" style="1"/>
    <col min="9218" max="9222" width="18.5703125" style="1" customWidth="1"/>
    <col min="9223" max="9473" width="9.140625" style="1"/>
    <col min="9474" max="9478" width="18.5703125" style="1" customWidth="1"/>
    <col min="9479" max="9729" width="9.140625" style="1"/>
    <col min="9730" max="9734" width="18.5703125" style="1" customWidth="1"/>
    <col min="9735" max="9985" width="9.140625" style="1"/>
    <col min="9986" max="9990" width="18.5703125" style="1" customWidth="1"/>
    <col min="9991" max="10241" width="9.140625" style="1"/>
    <col min="10242" max="10246" width="18.5703125" style="1" customWidth="1"/>
    <col min="10247" max="10497" width="9.140625" style="1"/>
    <col min="10498" max="10502" width="18.5703125" style="1" customWidth="1"/>
    <col min="10503" max="10753" width="9.140625" style="1"/>
    <col min="10754" max="10758" width="18.5703125" style="1" customWidth="1"/>
    <col min="10759" max="11009" width="9.140625" style="1"/>
    <col min="11010" max="11014" width="18.5703125" style="1" customWidth="1"/>
    <col min="11015" max="11265" width="9.140625" style="1"/>
    <col min="11266" max="11270" width="18.5703125" style="1" customWidth="1"/>
    <col min="11271" max="11521" width="9.140625" style="1"/>
    <col min="11522" max="11526" width="18.5703125" style="1" customWidth="1"/>
    <col min="11527" max="11777" width="9.140625" style="1"/>
    <col min="11778" max="11782" width="18.5703125" style="1" customWidth="1"/>
    <col min="11783" max="12033" width="9.140625" style="1"/>
    <col min="12034" max="12038" width="18.5703125" style="1" customWidth="1"/>
    <col min="12039" max="12289" width="9.140625" style="1"/>
    <col min="12290" max="12294" width="18.5703125" style="1" customWidth="1"/>
    <col min="12295" max="12545" width="9.140625" style="1"/>
    <col min="12546" max="12550" width="18.5703125" style="1" customWidth="1"/>
    <col min="12551" max="12801" width="9.140625" style="1"/>
    <col min="12802" max="12806" width="18.5703125" style="1" customWidth="1"/>
    <col min="12807" max="13057" width="9.140625" style="1"/>
    <col min="13058" max="13062" width="18.5703125" style="1" customWidth="1"/>
    <col min="13063" max="13313" width="9.140625" style="1"/>
    <col min="13314" max="13318" width="18.5703125" style="1" customWidth="1"/>
    <col min="13319" max="13569" width="9.140625" style="1"/>
    <col min="13570" max="13574" width="18.5703125" style="1" customWidth="1"/>
    <col min="13575" max="13825" width="9.140625" style="1"/>
    <col min="13826" max="13830" width="18.5703125" style="1" customWidth="1"/>
    <col min="13831" max="14081" width="9.140625" style="1"/>
    <col min="14082" max="14086" width="18.5703125" style="1" customWidth="1"/>
    <col min="14087" max="14337" width="9.140625" style="1"/>
    <col min="14338" max="14342" width="18.5703125" style="1" customWidth="1"/>
    <col min="14343" max="14593" width="9.140625" style="1"/>
    <col min="14594" max="14598" width="18.5703125" style="1" customWidth="1"/>
    <col min="14599" max="14849" width="9.140625" style="1"/>
    <col min="14850" max="14854" width="18.5703125" style="1" customWidth="1"/>
    <col min="14855" max="15105" width="9.140625" style="1"/>
    <col min="15106" max="15110" width="18.5703125" style="1" customWidth="1"/>
    <col min="15111" max="15361" width="9.140625" style="1"/>
    <col min="15362" max="15366" width="18.5703125" style="1" customWidth="1"/>
    <col min="15367" max="15617" width="9.140625" style="1"/>
    <col min="15618" max="15622" width="18.5703125" style="1" customWidth="1"/>
    <col min="15623" max="15873" width="9.140625" style="1"/>
    <col min="15874" max="15878" width="18.5703125" style="1" customWidth="1"/>
    <col min="15879" max="16129" width="9.140625" style="1"/>
    <col min="16130" max="16134" width="18.5703125" style="1" customWidth="1"/>
    <col min="16135" max="16384" width="9.140625" style="1"/>
  </cols>
  <sheetData>
    <row r="1" spans="1:17" ht="15" customHeight="1" x14ac:dyDescent="0.25">
      <c r="A1" s="100" t="s">
        <v>0</v>
      </c>
      <c r="B1" s="100"/>
      <c r="C1" s="100"/>
      <c r="D1" s="100"/>
      <c r="E1" s="100"/>
      <c r="F1" s="100"/>
      <c r="G1" s="100"/>
      <c r="H1" s="100"/>
    </row>
    <row r="2" spans="1:17" ht="15" customHeight="1" x14ac:dyDescent="0.25">
      <c r="A2" s="100" t="s">
        <v>154</v>
      </c>
      <c r="B2" s="100"/>
      <c r="C2" s="100"/>
      <c r="D2" s="100"/>
      <c r="E2" s="100"/>
      <c r="F2" s="100"/>
      <c r="G2" s="100"/>
      <c r="H2" s="100"/>
    </row>
    <row r="3" spans="1:17" ht="15" customHeight="1" x14ac:dyDescent="0.25">
      <c r="A3" s="101" t="s">
        <v>1</v>
      </c>
      <c r="B3" s="101"/>
      <c r="C3" s="101"/>
      <c r="D3" s="101"/>
      <c r="E3" s="101"/>
      <c r="F3" s="101"/>
      <c r="G3" s="101"/>
      <c r="H3" s="101"/>
    </row>
    <row r="4" spans="1:17" ht="15" customHeight="1" x14ac:dyDescent="0.25">
      <c r="A4" s="101" t="s">
        <v>152</v>
      </c>
      <c r="B4" s="101"/>
      <c r="C4" s="101"/>
      <c r="D4" s="101"/>
      <c r="E4" s="101"/>
      <c r="F4" s="101"/>
      <c r="G4" s="101"/>
      <c r="H4" s="101"/>
    </row>
    <row r="5" spans="1:17" ht="15" customHeight="1" x14ac:dyDescent="0.25">
      <c r="A5" s="101" t="s">
        <v>153</v>
      </c>
      <c r="B5" s="101"/>
      <c r="C5" s="101"/>
      <c r="D5" s="101"/>
      <c r="E5" s="101"/>
      <c r="F5" s="101"/>
      <c r="G5" s="101"/>
      <c r="H5" s="101"/>
    </row>
    <row r="6" spans="1:17" ht="8.25" customHeight="1" x14ac:dyDescent="0.2">
      <c r="A6" s="104" t="s">
        <v>165</v>
      </c>
      <c r="B6" s="104"/>
      <c r="C6" s="104"/>
      <c r="D6" s="104"/>
      <c r="E6" s="104"/>
      <c r="F6" s="104"/>
      <c r="G6" s="104"/>
      <c r="H6" s="104"/>
    </row>
    <row r="7" spans="1:17" ht="15" customHeight="1" x14ac:dyDescent="0.2">
      <c r="A7" s="104"/>
      <c r="B7" s="104"/>
      <c r="C7" s="104"/>
      <c r="D7" s="104"/>
      <c r="E7" s="104"/>
      <c r="F7" s="104"/>
      <c r="G7" s="104"/>
      <c r="H7" s="104"/>
    </row>
    <row r="8" spans="1:17" ht="23.25" customHeight="1" x14ac:dyDescent="0.2">
      <c r="A8" s="104"/>
      <c r="B8" s="104"/>
      <c r="C8" s="104"/>
      <c r="D8" s="104"/>
      <c r="E8" s="104"/>
      <c r="F8" s="104"/>
      <c r="G8" s="104"/>
      <c r="H8" s="104"/>
    </row>
    <row r="9" spans="1:17" ht="15" customHeight="1" x14ac:dyDescent="0.2">
      <c r="A9" s="103" t="s">
        <v>167</v>
      </c>
      <c r="B9" s="103"/>
      <c r="C9" s="103"/>
      <c r="D9" s="103"/>
      <c r="E9" s="103"/>
      <c r="F9" s="103"/>
      <c r="G9" s="103"/>
      <c r="H9" s="103"/>
    </row>
    <row r="10" spans="1:17" ht="9" customHeight="1" x14ac:dyDescent="0.2">
      <c r="A10" s="22"/>
      <c r="B10" s="22"/>
      <c r="C10" s="22"/>
      <c r="D10" s="22"/>
      <c r="E10" s="22"/>
      <c r="F10" s="22"/>
      <c r="G10" s="22"/>
      <c r="H10" s="22"/>
    </row>
    <row r="11" spans="1:17" ht="9" customHeight="1" x14ac:dyDescent="0.2">
      <c r="A11" s="99"/>
      <c r="B11" s="99"/>
      <c r="C11" s="99"/>
      <c r="D11" s="99"/>
      <c r="E11" s="99"/>
      <c r="F11" s="99"/>
      <c r="G11" s="99"/>
      <c r="H11" s="99"/>
    </row>
    <row r="12" spans="1:17" x14ac:dyDescent="0.2">
      <c r="A12" s="3" t="s">
        <v>43</v>
      </c>
      <c r="B12" s="34" t="s">
        <v>128</v>
      </c>
      <c r="C12" s="34" t="s">
        <v>127</v>
      </c>
      <c r="D12" s="20" t="s">
        <v>44</v>
      </c>
      <c r="E12" s="34" t="s">
        <v>129</v>
      </c>
      <c r="F12" s="34" t="s">
        <v>130</v>
      </c>
      <c r="G12" s="20" t="s">
        <v>45</v>
      </c>
      <c r="H12" s="20" t="s">
        <v>46</v>
      </c>
    </row>
    <row r="13" spans="1:17" ht="8.25" customHeight="1" x14ac:dyDescent="0.2">
      <c r="A13" s="4"/>
      <c r="B13" s="48"/>
      <c r="C13" s="48"/>
      <c r="D13" s="15"/>
      <c r="E13" s="36"/>
      <c r="F13" s="36"/>
      <c r="G13" s="15"/>
      <c r="H13" s="15"/>
    </row>
    <row r="14" spans="1:17" s="5" customFormat="1" ht="12" customHeight="1" x14ac:dyDescent="0.2">
      <c r="A14" s="46">
        <v>45930</v>
      </c>
      <c r="B14" s="36">
        <v>75000</v>
      </c>
      <c r="C14" s="36"/>
      <c r="D14" s="15">
        <f>+B14+C14</f>
        <v>75000</v>
      </c>
      <c r="E14" s="36">
        <v>96866.67</v>
      </c>
      <c r="F14" s="36">
        <v>3398182.5</v>
      </c>
      <c r="G14" s="15">
        <f>+E14+F14</f>
        <v>3495049.17</v>
      </c>
      <c r="H14" s="15">
        <f>SUM(D14:G14)</f>
        <v>7065098.3399999999</v>
      </c>
      <c r="M14" s="50"/>
      <c r="N14" s="51"/>
      <c r="O14" s="51"/>
      <c r="P14" s="51"/>
      <c r="Q14" s="51"/>
    </row>
    <row r="15" spans="1:17" s="5" customFormat="1" ht="12" customHeight="1" x14ac:dyDescent="0.2">
      <c r="A15" s="46">
        <v>46295</v>
      </c>
      <c r="B15" s="36">
        <v>105000</v>
      </c>
      <c r="C15" s="36"/>
      <c r="D15" s="15">
        <f t="shared" ref="D15:D43" si="0">+B15+C15</f>
        <v>105000</v>
      </c>
      <c r="E15" s="36">
        <v>65875</v>
      </c>
      <c r="F15" s="36">
        <v>2486475</v>
      </c>
      <c r="G15" s="15">
        <f t="shared" ref="G15:G43" si="1">+E15+F15</f>
        <v>2552350</v>
      </c>
      <c r="H15" s="15">
        <f t="shared" ref="H15:H43" si="2">SUM(D15:G15)</f>
        <v>5209700</v>
      </c>
      <c r="M15" s="51"/>
      <c r="N15" s="52"/>
      <c r="O15" s="52"/>
      <c r="P15" s="52"/>
    </row>
    <row r="16" spans="1:17" s="5" customFormat="1" ht="12" customHeight="1" x14ac:dyDescent="0.2">
      <c r="A16" s="46">
        <v>46660</v>
      </c>
      <c r="B16" s="36">
        <v>110000</v>
      </c>
      <c r="C16" s="36">
        <v>500000</v>
      </c>
      <c r="D16" s="15">
        <f t="shared" si="0"/>
        <v>610000</v>
      </c>
      <c r="E16" s="36">
        <v>60500</v>
      </c>
      <c r="F16" s="36">
        <v>2473975</v>
      </c>
      <c r="G16" s="15">
        <f t="shared" si="1"/>
        <v>2534475</v>
      </c>
      <c r="H16" s="15">
        <f t="shared" si="2"/>
        <v>5678950</v>
      </c>
      <c r="M16" s="53"/>
      <c r="N16" s="54"/>
      <c r="O16" s="55"/>
      <c r="P16" s="55"/>
    </row>
    <row r="17" spans="1:17" s="5" customFormat="1" ht="12" customHeight="1" x14ac:dyDescent="0.2">
      <c r="A17" s="46">
        <v>47026</v>
      </c>
      <c r="B17" s="36">
        <v>115000</v>
      </c>
      <c r="C17" s="36">
        <v>930000</v>
      </c>
      <c r="D17" s="15">
        <f t="shared" si="0"/>
        <v>1045000</v>
      </c>
      <c r="E17" s="36">
        <v>54875</v>
      </c>
      <c r="F17" s="36">
        <v>2438225</v>
      </c>
      <c r="G17" s="15">
        <f t="shared" si="1"/>
        <v>2493100</v>
      </c>
      <c r="H17" s="15">
        <f t="shared" si="2"/>
        <v>6031200</v>
      </c>
      <c r="M17" s="53"/>
      <c r="N17" s="54"/>
      <c r="O17" s="55"/>
      <c r="P17" s="55"/>
    </row>
    <row r="18" spans="1:17" s="5" customFormat="1" ht="12" customHeight="1" x14ac:dyDescent="0.25">
      <c r="A18" s="46">
        <v>47391</v>
      </c>
      <c r="B18" s="36">
        <v>120000</v>
      </c>
      <c r="C18" s="36">
        <v>975000</v>
      </c>
      <c r="D18" s="15">
        <f t="shared" si="0"/>
        <v>1095000</v>
      </c>
      <c r="E18" s="36">
        <v>49000</v>
      </c>
      <c r="F18" s="36">
        <v>2390600</v>
      </c>
      <c r="G18" s="15">
        <f t="shared" si="1"/>
        <v>2439600</v>
      </c>
      <c r="H18" s="15">
        <f t="shared" si="2"/>
        <v>5974200</v>
      </c>
      <c r="J18" s="24"/>
      <c r="M18" s="53"/>
      <c r="N18" s="54"/>
      <c r="O18" s="55"/>
      <c r="P18" s="55"/>
    </row>
    <row r="19" spans="1:17" s="5" customFormat="1" ht="12" customHeight="1" x14ac:dyDescent="0.25">
      <c r="A19" s="46">
        <v>47756</v>
      </c>
      <c r="B19" s="36">
        <v>125000</v>
      </c>
      <c r="C19" s="36">
        <v>1025000</v>
      </c>
      <c r="D19" s="15">
        <f t="shared" si="0"/>
        <v>1150000</v>
      </c>
      <c r="E19" s="36">
        <v>42875</v>
      </c>
      <c r="F19" s="36">
        <v>2340600</v>
      </c>
      <c r="G19" s="15">
        <f t="shared" si="1"/>
        <v>2383475</v>
      </c>
      <c r="H19" s="15">
        <f t="shared" si="2"/>
        <v>5916950</v>
      </c>
      <c r="J19" s="24"/>
      <c r="M19" s="53"/>
      <c r="N19" s="54"/>
      <c r="O19" s="55"/>
      <c r="P19" s="55"/>
    </row>
    <row r="20" spans="1:17" s="5" customFormat="1" ht="12" customHeight="1" x14ac:dyDescent="0.2">
      <c r="A20" s="46">
        <v>48121</v>
      </c>
      <c r="B20" s="36">
        <v>135000</v>
      </c>
      <c r="C20" s="36">
        <v>1080000</v>
      </c>
      <c r="D20" s="15">
        <f t="shared" si="0"/>
        <v>1215000</v>
      </c>
      <c r="E20" s="36">
        <v>36375</v>
      </c>
      <c r="F20" s="36">
        <v>2287975</v>
      </c>
      <c r="G20" s="15">
        <f t="shared" si="1"/>
        <v>2324350</v>
      </c>
      <c r="H20" s="15">
        <f t="shared" si="2"/>
        <v>5863700</v>
      </c>
      <c r="M20" s="53"/>
      <c r="N20" s="54"/>
      <c r="O20" s="55"/>
      <c r="P20" s="55"/>
    </row>
    <row r="21" spans="1:17" s="5" customFormat="1" ht="12" customHeight="1" x14ac:dyDescent="0.2">
      <c r="A21" s="46">
        <v>48487</v>
      </c>
      <c r="B21" s="36">
        <v>140000</v>
      </c>
      <c r="C21" s="36">
        <v>1135000</v>
      </c>
      <c r="D21" s="15">
        <f t="shared" si="0"/>
        <v>1275000</v>
      </c>
      <c r="E21" s="36">
        <v>29500</v>
      </c>
      <c r="F21" s="36">
        <v>2232600</v>
      </c>
      <c r="G21" s="15">
        <f t="shared" si="1"/>
        <v>2262100</v>
      </c>
      <c r="H21" s="15">
        <f t="shared" si="2"/>
        <v>5799200</v>
      </c>
      <c r="M21" s="53"/>
      <c r="N21" s="54"/>
      <c r="O21" s="55"/>
      <c r="P21" s="55"/>
    </row>
    <row r="22" spans="1:17" s="5" customFormat="1" ht="12" customHeight="1" x14ac:dyDescent="0.2">
      <c r="A22" s="46">
        <v>48852</v>
      </c>
      <c r="B22" s="36">
        <v>150000</v>
      </c>
      <c r="C22" s="36">
        <v>1195000</v>
      </c>
      <c r="D22" s="15">
        <f t="shared" si="0"/>
        <v>1345000</v>
      </c>
      <c r="E22" s="36">
        <v>22250</v>
      </c>
      <c r="F22" s="36">
        <v>2174350</v>
      </c>
      <c r="G22" s="15">
        <f t="shared" si="1"/>
        <v>2196600</v>
      </c>
      <c r="H22" s="15">
        <f t="shared" si="2"/>
        <v>5738200</v>
      </c>
      <c r="M22" s="53"/>
      <c r="N22" s="54"/>
      <c r="O22" s="55"/>
      <c r="P22" s="55"/>
    </row>
    <row r="23" spans="1:17" s="5" customFormat="1" ht="12" customHeight="1" x14ac:dyDescent="0.2">
      <c r="A23" s="46">
        <v>49217</v>
      </c>
      <c r="B23" s="36">
        <v>155000</v>
      </c>
      <c r="C23" s="36">
        <v>1255000</v>
      </c>
      <c r="D23" s="15">
        <f t="shared" si="0"/>
        <v>1410000</v>
      </c>
      <c r="E23" s="36">
        <v>14625</v>
      </c>
      <c r="F23" s="36">
        <v>2113100</v>
      </c>
      <c r="G23" s="15">
        <f t="shared" si="1"/>
        <v>2127725</v>
      </c>
      <c r="H23" s="15">
        <f t="shared" si="2"/>
        <v>5665450</v>
      </c>
      <c r="M23" s="53"/>
      <c r="N23" s="54"/>
      <c r="O23" s="55"/>
      <c r="P23" s="55"/>
    </row>
    <row r="24" spans="1:17" s="5" customFormat="1" ht="12" customHeight="1" x14ac:dyDescent="0.2">
      <c r="A24" s="46">
        <v>49582</v>
      </c>
      <c r="B24" s="36">
        <v>165000</v>
      </c>
      <c r="C24" s="36">
        <v>1320000</v>
      </c>
      <c r="D24" s="15">
        <f t="shared" si="0"/>
        <v>1485000</v>
      </c>
      <c r="E24" s="36">
        <v>6625</v>
      </c>
      <c r="F24" s="36">
        <v>2048725</v>
      </c>
      <c r="G24" s="15">
        <f t="shared" si="1"/>
        <v>2055350</v>
      </c>
      <c r="H24" s="15">
        <f t="shared" si="2"/>
        <v>5595700</v>
      </c>
      <c r="M24" s="53"/>
      <c r="N24" s="54"/>
      <c r="O24" s="55"/>
      <c r="P24" s="55"/>
    </row>
    <row r="25" spans="1:17" s="5" customFormat="1" ht="12" customHeight="1" x14ac:dyDescent="0.2">
      <c r="A25" s="46">
        <v>49948</v>
      </c>
      <c r="B25" s="36">
        <v>50000</v>
      </c>
      <c r="C25" s="36">
        <v>1385000</v>
      </c>
      <c r="D25" s="15">
        <f t="shared" si="0"/>
        <v>1435000</v>
      </c>
      <c r="E25" s="36">
        <v>1250</v>
      </c>
      <c r="F25" s="36">
        <v>1981100</v>
      </c>
      <c r="G25" s="15">
        <f t="shared" si="1"/>
        <v>1982350</v>
      </c>
      <c r="H25" s="15">
        <f t="shared" si="2"/>
        <v>5399700</v>
      </c>
      <c r="M25" s="53"/>
      <c r="N25" s="54"/>
      <c r="O25" s="55"/>
      <c r="P25" s="55"/>
    </row>
    <row r="26" spans="1:17" s="5" customFormat="1" ht="12" customHeight="1" x14ac:dyDescent="0.2">
      <c r="A26" s="46">
        <v>50313</v>
      </c>
      <c r="B26" s="36"/>
      <c r="C26" s="36">
        <v>1460000</v>
      </c>
      <c r="D26" s="15">
        <f t="shared" si="0"/>
        <v>1460000</v>
      </c>
      <c r="E26" s="36"/>
      <c r="F26" s="36">
        <v>1909975</v>
      </c>
      <c r="G26" s="15">
        <f t="shared" si="1"/>
        <v>1909975</v>
      </c>
      <c r="H26" s="15">
        <f t="shared" si="2"/>
        <v>5279950</v>
      </c>
      <c r="M26" s="53"/>
      <c r="N26" s="54"/>
      <c r="O26" s="55"/>
      <c r="P26" s="55"/>
    </row>
    <row r="27" spans="1:17" s="5" customFormat="1" ht="12" customHeight="1" x14ac:dyDescent="0.2">
      <c r="A27" s="46">
        <v>50678</v>
      </c>
      <c r="B27" s="36"/>
      <c r="C27" s="36">
        <v>1535000</v>
      </c>
      <c r="D27" s="15">
        <f t="shared" si="0"/>
        <v>1535000</v>
      </c>
      <c r="E27" s="36"/>
      <c r="F27" s="36">
        <v>1835100</v>
      </c>
      <c r="G27" s="15">
        <f t="shared" si="1"/>
        <v>1835100</v>
      </c>
      <c r="H27" s="15">
        <f t="shared" si="2"/>
        <v>5205200</v>
      </c>
      <c r="M27" s="53"/>
      <c r="N27" s="54"/>
      <c r="O27" s="55"/>
      <c r="P27" s="55"/>
    </row>
    <row r="28" spans="1:17" s="5" customFormat="1" ht="12" customHeight="1" x14ac:dyDescent="0.2">
      <c r="A28" s="46">
        <v>51043</v>
      </c>
      <c r="B28" s="36"/>
      <c r="C28" s="36">
        <v>1610000</v>
      </c>
      <c r="D28" s="15">
        <f t="shared" si="0"/>
        <v>1610000</v>
      </c>
      <c r="E28" s="36"/>
      <c r="F28" s="36">
        <v>1756475</v>
      </c>
      <c r="G28" s="15">
        <f t="shared" si="1"/>
        <v>1756475</v>
      </c>
      <c r="H28" s="15">
        <f t="shared" si="2"/>
        <v>5122950</v>
      </c>
    </row>
    <row r="29" spans="1:17" s="5" customFormat="1" ht="12" customHeight="1" x14ac:dyDescent="0.2">
      <c r="A29" s="46">
        <v>51409</v>
      </c>
      <c r="B29" s="36"/>
      <c r="C29" s="36">
        <v>1695000</v>
      </c>
      <c r="D29" s="15">
        <f t="shared" si="0"/>
        <v>1695000</v>
      </c>
      <c r="E29" s="36"/>
      <c r="F29" s="36">
        <v>1673850</v>
      </c>
      <c r="G29" s="15">
        <f t="shared" si="1"/>
        <v>1673850</v>
      </c>
      <c r="H29" s="15">
        <f t="shared" si="2"/>
        <v>5042700</v>
      </c>
      <c r="M29" s="56"/>
      <c r="N29" s="51"/>
      <c r="O29" s="51"/>
      <c r="P29" s="51"/>
      <c r="Q29" s="51"/>
    </row>
    <row r="30" spans="1:17" s="5" customFormat="1" ht="12" customHeight="1" x14ac:dyDescent="0.2">
      <c r="A30" s="46">
        <v>51774</v>
      </c>
      <c r="B30" s="36"/>
      <c r="C30" s="36">
        <v>1780000</v>
      </c>
      <c r="D30" s="15">
        <f t="shared" si="0"/>
        <v>1780000</v>
      </c>
      <c r="E30" s="36"/>
      <c r="F30" s="36">
        <v>1586975</v>
      </c>
      <c r="G30" s="15">
        <f t="shared" si="1"/>
        <v>1586975</v>
      </c>
      <c r="H30" s="15">
        <f t="shared" si="2"/>
        <v>4953950</v>
      </c>
      <c r="M30" s="51"/>
      <c r="N30" s="52"/>
      <c r="O30" s="57"/>
      <c r="P30" s="52"/>
    </row>
    <row r="31" spans="1:17" s="5" customFormat="1" ht="12" customHeight="1" x14ac:dyDescent="0.2">
      <c r="A31" s="46">
        <v>52139</v>
      </c>
      <c r="B31" s="36"/>
      <c r="C31" s="36">
        <v>1870000</v>
      </c>
      <c r="D31" s="15">
        <f t="shared" si="0"/>
        <v>1870000</v>
      </c>
      <c r="E31" s="36"/>
      <c r="F31" s="36">
        <v>1495725</v>
      </c>
      <c r="G31" s="15">
        <f t="shared" si="1"/>
        <v>1495725</v>
      </c>
      <c r="H31" s="15">
        <f t="shared" si="2"/>
        <v>4861450</v>
      </c>
      <c r="M31" s="53"/>
      <c r="P31" s="55"/>
    </row>
    <row r="32" spans="1:17" s="5" customFormat="1" ht="12" customHeight="1" x14ac:dyDescent="0.2">
      <c r="A32" s="46">
        <v>52504</v>
      </c>
      <c r="B32" s="36"/>
      <c r="C32" s="36">
        <v>1970000</v>
      </c>
      <c r="D32" s="15">
        <f t="shared" si="0"/>
        <v>1970000</v>
      </c>
      <c r="E32" s="36"/>
      <c r="F32" s="36">
        <v>1399725</v>
      </c>
      <c r="G32" s="15">
        <f t="shared" si="1"/>
        <v>1399725</v>
      </c>
      <c r="H32" s="15">
        <f t="shared" si="2"/>
        <v>4769450</v>
      </c>
      <c r="M32" s="53"/>
      <c r="P32" s="55"/>
    </row>
    <row r="33" spans="1:16" s="5" customFormat="1" ht="12" customHeight="1" x14ac:dyDescent="0.2">
      <c r="A33" s="46">
        <v>52870</v>
      </c>
      <c r="B33" s="36"/>
      <c r="C33" s="36">
        <v>2070000</v>
      </c>
      <c r="D33" s="15">
        <f t="shared" si="0"/>
        <v>2070000</v>
      </c>
      <c r="E33" s="36"/>
      <c r="F33" s="36">
        <v>1298725</v>
      </c>
      <c r="G33" s="15">
        <f t="shared" si="1"/>
        <v>1298725</v>
      </c>
      <c r="H33" s="15">
        <f t="shared" si="2"/>
        <v>4667450</v>
      </c>
      <c r="M33" s="53"/>
      <c r="P33" s="55"/>
    </row>
    <row r="34" spans="1:16" s="5" customFormat="1" ht="12" customHeight="1" x14ac:dyDescent="0.2">
      <c r="A34" s="46">
        <v>53235</v>
      </c>
      <c r="B34" s="36"/>
      <c r="C34" s="36">
        <v>2175000</v>
      </c>
      <c r="D34" s="15">
        <f t="shared" si="0"/>
        <v>2175000</v>
      </c>
      <c r="E34" s="36"/>
      <c r="F34" s="36">
        <v>1192600</v>
      </c>
      <c r="G34" s="15">
        <f t="shared" si="1"/>
        <v>1192600</v>
      </c>
      <c r="H34" s="15">
        <f t="shared" si="2"/>
        <v>4560200</v>
      </c>
      <c r="M34" s="53"/>
      <c r="P34" s="55"/>
    </row>
    <row r="35" spans="1:16" s="5" customFormat="1" ht="12" customHeight="1" x14ac:dyDescent="0.2">
      <c r="A35" s="46">
        <v>53600</v>
      </c>
      <c r="B35" s="36"/>
      <c r="C35" s="36">
        <v>2285000</v>
      </c>
      <c r="D35" s="15">
        <f t="shared" si="0"/>
        <v>2285000</v>
      </c>
      <c r="E35" s="36"/>
      <c r="F35" s="36">
        <v>1081100</v>
      </c>
      <c r="G35" s="15">
        <f t="shared" si="1"/>
        <v>1081100</v>
      </c>
      <c r="H35" s="15">
        <f t="shared" si="2"/>
        <v>4447200</v>
      </c>
      <c r="M35" s="53"/>
      <c r="P35" s="55"/>
    </row>
    <row r="36" spans="1:16" s="5" customFormat="1" ht="12" customHeight="1" x14ac:dyDescent="0.2">
      <c r="A36" s="46">
        <v>53965</v>
      </c>
      <c r="B36" s="36"/>
      <c r="C36" s="36">
        <v>2405000</v>
      </c>
      <c r="D36" s="15">
        <f t="shared" si="0"/>
        <v>2405000</v>
      </c>
      <c r="E36" s="36"/>
      <c r="F36" s="36">
        <v>963850</v>
      </c>
      <c r="G36" s="15">
        <f t="shared" si="1"/>
        <v>963850</v>
      </c>
      <c r="H36" s="15">
        <f t="shared" si="2"/>
        <v>4332700</v>
      </c>
      <c r="M36" s="53"/>
      <c r="P36" s="55"/>
    </row>
    <row r="37" spans="1:16" s="5" customFormat="1" ht="12" customHeight="1" x14ac:dyDescent="0.2">
      <c r="A37" s="46">
        <v>54331</v>
      </c>
      <c r="B37" s="36"/>
      <c r="C37" s="36">
        <v>2525000</v>
      </c>
      <c r="D37" s="15">
        <f t="shared" si="0"/>
        <v>2525000</v>
      </c>
      <c r="E37" s="36"/>
      <c r="F37" s="36">
        <v>840600</v>
      </c>
      <c r="G37" s="15">
        <f t="shared" si="1"/>
        <v>840600</v>
      </c>
      <c r="H37" s="15">
        <f t="shared" si="2"/>
        <v>4206200</v>
      </c>
      <c r="M37" s="53"/>
      <c r="P37" s="55"/>
    </row>
    <row r="38" spans="1:16" s="5" customFormat="1" ht="12" customHeight="1" x14ac:dyDescent="0.2">
      <c r="A38" s="46">
        <v>54696</v>
      </c>
      <c r="B38" s="36"/>
      <c r="C38" s="36">
        <v>2655000</v>
      </c>
      <c r="D38" s="15">
        <f t="shared" si="0"/>
        <v>2655000</v>
      </c>
      <c r="E38" s="36"/>
      <c r="F38" s="36">
        <v>711100</v>
      </c>
      <c r="G38" s="15">
        <f t="shared" si="1"/>
        <v>711100</v>
      </c>
      <c r="H38" s="15">
        <f t="shared" si="2"/>
        <v>4077200</v>
      </c>
      <c r="M38" s="53"/>
      <c r="P38" s="55"/>
    </row>
    <row r="39" spans="1:16" s="5" customFormat="1" ht="12" customHeight="1" x14ac:dyDescent="0.2">
      <c r="A39" s="46">
        <v>55061</v>
      </c>
      <c r="B39" s="36"/>
      <c r="C39" s="36">
        <v>2780000</v>
      </c>
      <c r="D39" s="15">
        <f t="shared" si="0"/>
        <v>2780000</v>
      </c>
      <c r="E39" s="36"/>
      <c r="F39" s="36">
        <v>585650</v>
      </c>
      <c r="G39" s="15">
        <f t="shared" si="1"/>
        <v>585650</v>
      </c>
      <c r="H39" s="15">
        <f t="shared" si="2"/>
        <v>3951300</v>
      </c>
      <c r="M39" s="53"/>
      <c r="P39" s="55"/>
    </row>
    <row r="40" spans="1:16" s="5" customFormat="1" ht="12" customHeight="1" x14ac:dyDescent="0.2">
      <c r="A40" s="46">
        <v>55426</v>
      </c>
      <c r="B40" s="36"/>
      <c r="C40" s="36">
        <v>2905000</v>
      </c>
      <c r="D40" s="15">
        <f t="shared" si="0"/>
        <v>2905000</v>
      </c>
      <c r="E40" s="36"/>
      <c r="F40" s="36">
        <v>464843.75</v>
      </c>
      <c r="G40" s="15">
        <f t="shared" si="1"/>
        <v>464843.75</v>
      </c>
      <c r="H40" s="15">
        <f t="shared" si="2"/>
        <v>3834687.5</v>
      </c>
      <c r="M40" s="53"/>
      <c r="P40" s="55"/>
    </row>
    <row r="41" spans="1:16" s="5" customFormat="1" ht="12" customHeight="1" x14ac:dyDescent="0.2">
      <c r="A41" s="46">
        <v>55792</v>
      </c>
      <c r="B41" s="36"/>
      <c r="C41" s="36">
        <v>3030000</v>
      </c>
      <c r="D41" s="15">
        <f t="shared" si="0"/>
        <v>3030000</v>
      </c>
      <c r="E41" s="36"/>
      <c r="F41" s="36">
        <v>338725</v>
      </c>
      <c r="G41" s="15">
        <f t="shared" si="1"/>
        <v>338725</v>
      </c>
      <c r="H41" s="15">
        <f t="shared" si="2"/>
        <v>3707450</v>
      </c>
      <c r="M41" s="53"/>
      <c r="P41" s="55"/>
    </row>
    <row r="42" spans="1:16" s="5" customFormat="1" ht="12" customHeight="1" x14ac:dyDescent="0.2">
      <c r="A42" s="46">
        <v>56157</v>
      </c>
      <c r="B42" s="36"/>
      <c r="C42" s="36">
        <v>3160000</v>
      </c>
      <c r="D42" s="15">
        <f t="shared" si="0"/>
        <v>3160000</v>
      </c>
      <c r="E42" s="36"/>
      <c r="F42" s="36">
        <v>207187.5</v>
      </c>
      <c r="G42" s="15">
        <f t="shared" si="1"/>
        <v>207187.5</v>
      </c>
      <c r="H42" s="15">
        <f t="shared" si="2"/>
        <v>3574375</v>
      </c>
      <c r="M42" s="53"/>
      <c r="P42" s="55"/>
    </row>
    <row r="43" spans="1:16" s="5" customFormat="1" ht="12" customHeight="1" x14ac:dyDescent="0.2">
      <c r="A43" s="46">
        <v>56522</v>
      </c>
      <c r="B43" s="36"/>
      <c r="C43" s="36">
        <v>3295000</v>
      </c>
      <c r="D43" s="15">
        <f t="shared" si="0"/>
        <v>3295000</v>
      </c>
      <c r="E43" s="36"/>
      <c r="F43" s="36">
        <v>70018.75</v>
      </c>
      <c r="G43" s="15">
        <f t="shared" si="1"/>
        <v>70018.75</v>
      </c>
      <c r="H43" s="15">
        <f t="shared" si="2"/>
        <v>3435037.5</v>
      </c>
      <c r="M43" s="53"/>
      <c r="P43" s="55"/>
    </row>
    <row r="44" spans="1:16" x14ac:dyDescent="0.2">
      <c r="A44" s="6" t="s">
        <v>4</v>
      </c>
      <c r="B44" s="49">
        <f t="shared" ref="B44:C44" si="3">SUM(B14:B43)</f>
        <v>1445000</v>
      </c>
      <c r="C44" s="49">
        <f t="shared" si="3"/>
        <v>52005000</v>
      </c>
      <c r="D44" s="16">
        <f>SUM(D14:D43)</f>
        <v>53450000</v>
      </c>
      <c r="E44" s="49">
        <f t="shared" ref="E44:F44" si="4">SUM(E14:E43)</f>
        <v>480616.67</v>
      </c>
      <c r="F44" s="49">
        <f t="shared" si="4"/>
        <v>47778132.5</v>
      </c>
      <c r="G44" s="16">
        <f>SUM(G14:G43)</f>
        <v>48258749.170000002</v>
      </c>
      <c r="H44" s="16">
        <f>SUM(H14:H43)</f>
        <v>149967498.34</v>
      </c>
      <c r="M44" s="53"/>
      <c r="P44" s="55"/>
    </row>
    <row r="45" spans="1:16" x14ac:dyDescent="0.2">
      <c r="A45" s="7"/>
      <c r="B45" s="7"/>
      <c r="C45" s="7"/>
      <c r="D45" s="17"/>
      <c r="E45" s="17"/>
      <c r="F45" s="17"/>
      <c r="G45" s="17"/>
      <c r="H45" s="17"/>
      <c r="M45" s="53"/>
      <c r="P45" s="55"/>
    </row>
    <row r="46" spans="1:16" x14ac:dyDescent="0.2">
      <c r="A46" s="7"/>
      <c r="B46" s="7"/>
      <c r="C46" s="7"/>
      <c r="D46" s="17"/>
      <c r="E46" s="17"/>
      <c r="F46" s="17"/>
      <c r="G46" s="17"/>
      <c r="H46" s="17"/>
      <c r="M46" s="53"/>
      <c r="P46" s="55"/>
    </row>
    <row r="47" spans="1:16" x14ac:dyDescent="0.2">
      <c r="A47" s="7"/>
      <c r="B47" s="7"/>
      <c r="C47" s="7"/>
      <c r="D47" s="17"/>
      <c r="E47" s="17"/>
      <c r="F47" s="17"/>
      <c r="G47" s="17"/>
      <c r="H47" s="17"/>
      <c r="M47" s="53"/>
      <c r="P47" s="55"/>
    </row>
    <row r="48" spans="1:16" x14ac:dyDescent="0.2">
      <c r="A48" s="7"/>
      <c r="B48" s="7"/>
      <c r="C48" s="7"/>
      <c r="D48" s="17"/>
      <c r="E48" s="17"/>
      <c r="F48" s="17"/>
      <c r="G48" s="17"/>
      <c r="H48" s="17"/>
      <c r="M48" s="53"/>
      <c r="P48" s="55"/>
    </row>
    <row r="49" spans="1:16" x14ac:dyDescent="0.2">
      <c r="A49" s="7"/>
      <c r="B49" s="7"/>
      <c r="C49" s="7"/>
      <c r="D49" s="17"/>
      <c r="E49" s="17"/>
      <c r="F49" s="17"/>
      <c r="G49" s="17"/>
      <c r="H49" s="17"/>
      <c r="M49" s="53"/>
      <c r="P49" s="55"/>
    </row>
    <row r="50" spans="1:16" x14ac:dyDescent="0.2">
      <c r="A50" s="7"/>
      <c r="B50" s="7"/>
      <c r="C50" s="7"/>
      <c r="D50" s="17"/>
      <c r="E50" s="17"/>
      <c r="F50" s="17"/>
      <c r="G50" s="17"/>
      <c r="H50" s="17"/>
      <c r="M50" s="53"/>
      <c r="P50" s="55"/>
    </row>
    <row r="51" spans="1:16" x14ac:dyDescent="0.2">
      <c r="A51" s="7"/>
      <c r="B51" s="7"/>
      <c r="C51" s="7"/>
      <c r="D51" s="17"/>
      <c r="E51" s="17"/>
      <c r="F51" s="17"/>
      <c r="G51" s="17"/>
      <c r="H51" s="17"/>
      <c r="M51" s="53"/>
      <c r="P51" s="55"/>
    </row>
    <row r="52" spans="1:16" x14ac:dyDescent="0.2">
      <c r="A52" s="7"/>
      <c r="B52" s="7"/>
      <c r="C52" s="7"/>
      <c r="D52" s="17"/>
      <c r="E52" s="17"/>
      <c r="F52" s="17"/>
      <c r="G52" s="17"/>
      <c r="H52" s="17"/>
      <c r="M52" s="53"/>
      <c r="P52" s="55"/>
    </row>
    <row r="53" spans="1:16" x14ac:dyDescent="0.2">
      <c r="D53" s="17"/>
      <c r="E53" s="17"/>
      <c r="F53" s="17"/>
      <c r="G53" s="17"/>
      <c r="H53" s="17"/>
      <c r="M53" s="53"/>
      <c r="P53" s="55"/>
    </row>
    <row r="54" spans="1:16" x14ac:dyDescent="0.2">
      <c r="D54" s="17"/>
      <c r="E54" s="17"/>
      <c r="F54" s="17"/>
      <c r="G54" s="17"/>
      <c r="H54" s="17"/>
      <c r="M54" s="53"/>
      <c r="P54" s="55"/>
    </row>
    <row r="55" spans="1:16" x14ac:dyDescent="0.2">
      <c r="D55" s="17"/>
      <c r="E55" s="17"/>
      <c r="F55" s="17"/>
      <c r="G55" s="17"/>
      <c r="H55" s="17"/>
      <c r="M55" s="53"/>
      <c r="P55" s="55"/>
    </row>
    <row r="56" spans="1:16" x14ac:dyDescent="0.2">
      <c r="D56" s="17"/>
      <c r="E56" s="17"/>
      <c r="F56" s="17"/>
      <c r="G56" s="17"/>
      <c r="H56" s="17"/>
      <c r="M56" s="53"/>
      <c r="P56" s="55"/>
    </row>
    <row r="57" spans="1:16" x14ac:dyDescent="0.2">
      <c r="D57" s="17"/>
      <c r="E57" s="17"/>
      <c r="F57" s="17"/>
      <c r="G57" s="17"/>
      <c r="H57" s="17"/>
      <c r="M57" s="53"/>
      <c r="P57" s="55"/>
    </row>
    <row r="58" spans="1:16" x14ac:dyDescent="0.2">
      <c r="D58" s="17"/>
      <c r="E58" s="17"/>
      <c r="F58" s="17"/>
      <c r="G58" s="17"/>
      <c r="H58" s="17"/>
      <c r="M58" s="53"/>
      <c r="P58" s="55"/>
    </row>
    <row r="59" spans="1:16" x14ac:dyDescent="0.2">
      <c r="D59" s="17"/>
      <c r="E59" s="17"/>
      <c r="F59" s="17"/>
      <c r="G59" s="17"/>
      <c r="H59" s="17"/>
      <c r="M59" s="53"/>
      <c r="P59" s="55"/>
    </row>
    <row r="60" spans="1:16" x14ac:dyDescent="0.2">
      <c r="D60" s="17"/>
      <c r="E60" s="17"/>
      <c r="F60" s="17"/>
      <c r="G60" s="17"/>
      <c r="H60" s="17"/>
      <c r="M60" s="53"/>
      <c r="P60" s="55"/>
    </row>
    <row r="61" spans="1:16" x14ac:dyDescent="0.2">
      <c r="D61" s="17"/>
      <c r="E61" s="17"/>
      <c r="F61" s="17"/>
      <c r="G61" s="17"/>
      <c r="H61" s="17"/>
    </row>
    <row r="62" spans="1:16" x14ac:dyDescent="0.2">
      <c r="D62" s="17"/>
      <c r="E62" s="17"/>
      <c r="F62" s="17"/>
      <c r="G62" s="17"/>
      <c r="H62" s="17"/>
    </row>
  </sheetData>
  <mergeCells count="8">
    <mergeCell ref="A9:H9"/>
    <mergeCell ref="A11:H11"/>
    <mergeCell ref="A1:H1"/>
    <mergeCell ref="A2:H2"/>
    <mergeCell ref="A3:H3"/>
    <mergeCell ref="A4:H4"/>
    <mergeCell ref="A5:H5"/>
    <mergeCell ref="A6:H8"/>
  </mergeCells>
  <pageMargins left="0.75" right="0.4" top="0.75" bottom="0.75" header="0.5" footer="0.5"/>
  <pageSetup scale="90" firstPageNumber="0" orientation="portrait" useFirstPageNumber="1" r:id="rId1"/>
  <headerFooter alignWithMargins="0"/>
  <ignoredErrors>
    <ignoredError sqref="H15:H43" formulaRange="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5DDEB-3B0A-44F4-B284-024BDE82FB9C}">
  <dimension ref="A1:H39"/>
  <sheetViews>
    <sheetView workbookViewId="0">
      <selection activeCell="H34" sqref="H34"/>
    </sheetView>
  </sheetViews>
  <sheetFormatPr defaultRowHeight="12.75" x14ac:dyDescent="0.2"/>
  <cols>
    <col min="1" max="4" width="25" style="12" customWidth="1"/>
    <col min="5" max="254" width="9.140625" style="1"/>
    <col min="255" max="259" width="18.5703125" style="1" customWidth="1"/>
    <col min="260" max="510" width="9.140625" style="1"/>
    <col min="511" max="515" width="18.5703125" style="1" customWidth="1"/>
    <col min="516" max="766" width="9.140625" style="1"/>
    <col min="767" max="771" width="18.5703125" style="1" customWidth="1"/>
    <col min="772" max="1022" width="9.140625" style="1"/>
    <col min="1023" max="1027" width="18.5703125" style="1" customWidth="1"/>
    <col min="1028" max="1278" width="9.140625" style="1"/>
    <col min="1279" max="1283" width="18.5703125" style="1" customWidth="1"/>
    <col min="1284" max="1534" width="9.140625" style="1"/>
    <col min="1535" max="1539" width="18.5703125" style="1" customWidth="1"/>
    <col min="1540" max="1790" width="9.140625" style="1"/>
    <col min="1791" max="1795" width="18.5703125" style="1" customWidth="1"/>
    <col min="1796" max="2046" width="9.140625" style="1"/>
    <col min="2047" max="2051" width="18.5703125" style="1" customWidth="1"/>
    <col min="2052" max="2302" width="9.140625" style="1"/>
    <col min="2303" max="2307" width="18.5703125" style="1" customWidth="1"/>
    <col min="2308" max="2558" width="9.140625" style="1"/>
    <col min="2559" max="2563" width="18.5703125" style="1" customWidth="1"/>
    <col min="2564" max="2814" width="9.140625" style="1"/>
    <col min="2815" max="2819" width="18.5703125" style="1" customWidth="1"/>
    <col min="2820" max="3070" width="9.140625" style="1"/>
    <col min="3071" max="3075" width="18.5703125" style="1" customWidth="1"/>
    <col min="3076" max="3326" width="9.140625" style="1"/>
    <col min="3327" max="3331" width="18.5703125" style="1" customWidth="1"/>
    <col min="3332" max="3582" width="9.140625" style="1"/>
    <col min="3583" max="3587" width="18.5703125" style="1" customWidth="1"/>
    <col min="3588" max="3838" width="9.140625" style="1"/>
    <col min="3839" max="3843" width="18.5703125" style="1" customWidth="1"/>
    <col min="3844" max="4094" width="9.140625" style="1"/>
    <col min="4095" max="4099" width="18.5703125" style="1" customWidth="1"/>
    <col min="4100" max="4350" width="9.140625" style="1"/>
    <col min="4351" max="4355" width="18.5703125" style="1" customWidth="1"/>
    <col min="4356" max="4606" width="9.140625" style="1"/>
    <col min="4607" max="4611" width="18.5703125" style="1" customWidth="1"/>
    <col min="4612" max="4862" width="9.140625" style="1"/>
    <col min="4863" max="4867" width="18.5703125" style="1" customWidth="1"/>
    <col min="4868" max="5118" width="9.140625" style="1"/>
    <col min="5119" max="5123" width="18.5703125" style="1" customWidth="1"/>
    <col min="5124" max="5374" width="9.140625" style="1"/>
    <col min="5375" max="5379" width="18.5703125" style="1" customWidth="1"/>
    <col min="5380" max="5630" width="9.140625" style="1"/>
    <col min="5631" max="5635" width="18.5703125" style="1" customWidth="1"/>
    <col min="5636" max="5886" width="9.140625" style="1"/>
    <col min="5887" max="5891" width="18.5703125" style="1" customWidth="1"/>
    <col min="5892" max="6142" width="9.140625" style="1"/>
    <col min="6143" max="6147" width="18.5703125" style="1" customWidth="1"/>
    <col min="6148" max="6398" width="9.140625" style="1"/>
    <col min="6399" max="6403" width="18.5703125" style="1" customWidth="1"/>
    <col min="6404" max="6654" width="9.140625" style="1"/>
    <col min="6655" max="6659" width="18.5703125" style="1" customWidth="1"/>
    <col min="6660" max="6910" width="9.140625" style="1"/>
    <col min="6911" max="6915" width="18.5703125" style="1" customWidth="1"/>
    <col min="6916" max="7166" width="9.140625" style="1"/>
    <col min="7167" max="7171" width="18.5703125" style="1" customWidth="1"/>
    <col min="7172" max="7422" width="9.140625" style="1"/>
    <col min="7423" max="7427" width="18.5703125" style="1" customWidth="1"/>
    <col min="7428" max="7678" width="9.140625" style="1"/>
    <col min="7679" max="7683" width="18.5703125" style="1" customWidth="1"/>
    <col min="7684" max="7934" width="9.140625" style="1"/>
    <col min="7935" max="7939" width="18.5703125" style="1" customWidth="1"/>
    <col min="7940" max="8190" width="9.140625" style="1"/>
    <col min="8191" max="8195" width="18.5703125" style="1" customWidth="1"/>
    <col min="8196" max="8446" width="9.140625" style="1"/>
    <col min="8447" max="8451" width="18.5703125" style="1" customWidth="1"/>
    <col min="8452" max="8702" width="9.140625" style="1"/>
    <col min="8703" max="8707" width="18.5703125" style="1" customWidth="1"/>
    <col min="8708" max="8958" width="9.140625" style="1"/>
    <col min="8959" max="8963" width="18.5703125" style="1" customWidth="1"/>
    <col min="8964" max="9214" width="9.140625" style="1"/>
    <col min="9215" max="9219" width="18.5703125" style="1" customWidth="1"/>
    <col min="9220" max="9470" width="9.140625" style="1"/>
    <col min="9471" max="9475" width="18.5703125" style="1" customWidth="1"/>
    <col min="9476" max="9726" width="9.140625" style="1"/>
    <col min="9727" max="9731" width="18.5703125" style="1" customWidth="1"/>
    <col min="9732" max="9982" width="9.140625" style="1"/>
    <col min="9983" max="9987" width="18.5703125" style="1" customWidth="1"/>
    <col min="9988" max="10238" width="9.140625" style="1"/>
    <col min="10239" max="10243" width="18.5703125" style="1" customWidth="1"/>
    <col min="10244" max="10494" width="9.140625" style="1"/>
    <col min="10495" max="10499" width="18.5703125" style="1" customWidth="1"/>
    <col min="10500" max="10750" width="9.140625" style="1"/>
    <col min="10751" max="10755" width="18.5703125" style="1" customWidth="1"/>
    <col min="10756" max="11006" width="9.140625" style="1"/>
    <col min="11007" max="11011" width="18.5703125" style="1" customWidth="1"/>
    <col min="11012" max="11262" width="9.140625" style="1"/>
    <col min="11263" max="11267" width="18.5703125" style="1" customWidth="1"/>
    <col min="11268" max="11518" width="9.140625" style="1"/>
    <col min="11519" max="11523" width="18.5703125" style="1" customWidth="1"/>
    <col min="11524" max="11774" width="9.140625" style="1"/>
    <col min="11775" max="11779" width="18.5703125" style="1" customWidth="1"/>
    <col min="11780" max="12030" width="9.140625" style="1"/>
    <col min="12031" max="12035" width="18.5703125" style="1" customWidth="1"/>
    <col min="12036" max="12286" width="9.140625" style="1"/>
    <col min="12287" max="12291" width="18.5703125" style="1" customWidth="1"/>
    <col min="12292" max="12542" width="9.140625" style="1"/>
    <col min="12543" max="12547" width="18.5703125" style="1" customWidth="1"/>
    <col min="12548" max="12798" width="9.140625" style="1"/>
    <col min="12799" max="12803" width="18.5703125" style="1" customWidth="1"/>
    <col min="12804" max="13054" width="9.140625" style="1"/>
    <col min="13055" max="13059" width="18.5703125" style="1" customWidth="1"/>
    <col min="13060" max="13310" width="9.140625" style="1"/>
    <col min="13311" max="13315" width="18.5703125" style="1" customWidth="1"/>
    <col min="13316" max="13566" width="9.140625" style="1"/>
    <col min="13567" max="13571" width="18.5703125" style="1" customWidth="1"/>
    <col min="13572" max="13822" width="9.140625" style="1"/>
    <col min="13823" max="13827" width="18.5703125" style="1" customWidth="1"/>
    <col min="13828" max="14078" width="9.140625" style="1"/>
    <col min="14079" max="14083" width="18.5703125" style="1" customWidth="1"/>
    <col min="14084" max="14334" width="9.140625" style="1"/>
    <col min="14335" max="14339" width="18.5703125" style="1" customWidth="1"/>
    <col min="14340" max="14590" width="9.140625" style="1"/>
    <col min="14591" max="14595" width="18.5703125" style="1" customWidth="1"/>
    <col min="14596" max="14846" width="9.140625" style="1"/>
    <col min="14847" max="14851" width="18.5703125" style="1" customWidth="1"/>
    <col min="14852" max="15102" width="9.140625" style="1"/>
    <col min="15103" max="15107" width="18.5703125" style="1" customWidth="1"/>
    <col min="15108" max="15358" width="9.140625" style="1"/>
    <col min="15359" max="15363" width="18.5703125" style="1" customWidth="1"/>
    <col min="15364" max="15614" width="9.140625" style="1"/>
    <col min="15615" max="15619" width="18.5703125" style="1" customWidth="1"/>
    <col min="15620" max="15870" width="9.140625" style="1"/>
    <col min="15871" max="15875" width="18.5703125" style="1" customWidth="1"/>
    <col min="15876" max="16126" width="9.140625" style="1"/>
    <col min="16127" max="16131" width="18.5703125" style="1" customWidth="1"/>
    <col min="16132" max="16384" width="9.140625" style="1"/>
  </cols>
  <sheetData>
    <row r="1" spans="1:8" ht="15" customHeight="1" x14ac:dyDescent="0.25">
      <c r="A1" s="100" t="s">
        <v>0</v>
      </c>
      <c r="B1" s="100"/>
      <c r="C1" s="100"/>
      <c r="D1" s="100"/>
    </row>
    <row r="2" spans="1:8" ht="15" customHeight="1" x14ac:dyDescent="0.25">
      <c r="A2" s="100" t="s">
        <v>154</v>
      </c>
      <c r="B2" s="100"/>
      <c r="C2" s="100"/>
      <c r="D2" s="100"/>
      <c r="E2" s="45"/>
      <c r="F2" s="45"/>
      <c r="G2" s="45"/>
      <c r="H2" s="45"/>
    </row>
    <row r="3" spans="1:8" ht="15" customHeight="1" x14ac:dyDescent="0.25">
      <c r="A3" s="101" t="s">
        <v>1</v>
      </c>
      <c r="B3" s="101"/>
      <c r="C3" s="101"/>
      <c r="D3" s="101"/>
    </row>
    <row r="4" spans="1:8" ht="15" customHeight="1" x14ac:dyDescent="0.25">
      <c r="A4" s="101" t="s">
        <v>162</v>
      </c>
      <c r="B4" s="101"/>
      <c r="C4" s="101"/>
      <c r="D4" s="101"/>
    </row>
    <row r="5" spans="1:8" ht="15" customHeight="1" x14ac:dyDescent="0.25">
      <c r="A5" s="101" t="s">
        <v>163</v>
      </c>
      <c r="B5" s="101"/>
      <c r="C5" s="101"/>
      <c r="D5" s="101"/>
    </row>
    <row r="6" spans="1:8" ht="8.25" customHeight="1" x14ac:dyDescent="0.2">
      <c r="A6" s="104" t="s">
        <v>164</v>
      </c>
      <c r="B6" s="104"/>
      <c r="C6" s="104"/>
      <c r="D6" s="104"/>
    </row>
    <row r="7" spans="1:8" ht="15" customHeight="1" x14ac:dyDescent="0.2">
      <c r="A7" s="104"/>
      <c r="B7" s="104"/>
      <c r="C7" s="104"/>
      <c r="D7" s="104"/>
    </row>
    <row r="8" spans="1:8" ht="23.25" customHeight="1" x14ac:dyDescent="0.2">
      <c r="A8" s="104"/>
      <c r="B8" s="104"/>
      <c r="C8" s="104"/>
      <c r="D8" s="104"/>
    </row>
    <row r="9" spans="1:8" ht="15" customHeight="1" x14ac:dyDescent="0.2">
      <c r="A9" s="103" t="s">
        <v>121</v>
      </c>
      <c r="B9" s="103"/>
      <c r="C9" s="103"/>
      <c r="D9" s="103"/>
    </row>
    <row r="10" spans="1:8" ht="9" customHeight="1" x14ac:dyDescent="0.2">
      <c r="A10" s="22"/>
      <c r="B10" s="22"/>
      <c r="C10" s="22"/>
      <c r="D10" s="22"/>
    </row>
    <row r="11" spans="1:8" ht="9" customHeight="1" x14ac:dyDescent="0.2">
      <c r="A11" s="99"/>
      <c r="B11" s="99"/>
      <c r="C11" s="99"/>
      <c r="D11" s="99"/>
    </row>
    <row r="12" spans="1:8" x14ac:dyDescent="0.2">
      <c r="A12" s="3" t="s">
        <v>43</v>
      </c>
      <c r="B12" s="20" t="s">
        <v>44</v>
      </c>
      <c r="C12" s="20" t="s">
        <v>45</v>
      </c>
      <c r="D12" s="20" t="s">
        <v>46</v>
      </c>
    </row>
    <row r="13" spans="1:8" ht="8.25" customHeight="1" x14ac:dyDescent="0.2"/>
    <row r="14" spans="1:8" s="5" customFormat="1" ht="12" customHeight="1" x14ac:dyDescent="0.2">
      <c r="A14" s="4" t="s">
        <v>6</v>
      </c>
      <c r="B14" s="15">
        <v>480000</v>
      </c>
      <c r="C14" s="15">
        <v>154951.57</v>
      </c>
      <c r="D14" s="15">
        <f t="shared" ref="D14:D20" si="0">+B14+C14</f>
        <v>634951.57000000007</v>
      </c>
    </row>
    <row r="15" spans="1:8" s="5" customFormat="1" ht="12" customHeight="1" x14ac:dyDescent="0.2">
      <c r="A15" s="4" t="s">
        <v>7</v>
      </c>
      <c r="B15" s="15">
        <v>505000</v>
      </c>
      <c r="C15" s="15">
        <v>128540.25</v>
      </c>
      <c r="D15" s="15">
        <f t="shared" si="0"/>
        <v>633540.25</v>
      </c>
    </row>
    <row r="16" spans="1:8" s="5" customFormat="1" ht="12" customHeight="1" x14ac:dyDescent="0.2">
      <c r="A16" s="4" t="s">
        <v>8</v>
      </c>
      <c r="B16" s="15">
        <v>530000</v>
      </c>
      <c r="C16" s="15">
        <v>107271</v>
      </c>
      <c r="D16" s="15">
        <f t="shared" si="0"/>
        <v>637271</v>
      </c>
    </row>
    <row r="17" spans="1:4" s="5" customFormat="1" ht="12" customHeight="1" x14ac:dyDescent="0.2">
      <c r="A17" s="4" t="s">
        <v>9</v>
      </c>
      <c r="B17" s="15">
        <v>550000</v>
      </c>
      <c r="C17" s="15">
        <v>85077</v>
      </c>
      <c r="D17" s="15">
        <f t="shared" si="0"/>
        <v>635077</v>
      </c>
    </row>
    <row r="18" spans="1:4" s="5" customFormat="1" ht="12" customHeight="1" x14ac:dyDescent="0.2">
      <c r="A18" s="4" t="s">
        <v>12</v>
      </c>
      <c r="B18" s="15">
        <v>575000</v>
      </c>
      <c r="C18" s="15">
        <v>61958.25</v>
      </c>
      <c r="D18" s="15">
        <f t="shared" si="0"/>
        <v>636958.25</v>
      </c>
    </row>
    <row r="19" spans="1:4" s="5" customFormat="1" ht="12" customHeight="1" x14ac:dyDescent="0.2">
      <c r="A19" s="4" t="s">
        <v>18</v>
      </c>
      <c r="B19" s="15">
        <v>600000</v>
      </c>
      <c r="C19" s="15">
        <v>37812</v>
      </c>
      <c r="D19" s="15">
        <f t="shared" si="0"/>
        <v>637812</v>
      </c>
    </row>
    <row r="20" spans="1:4" s="5" customFormat="1" ht="12" customHeight="1" x14ac:dyDescent="0.2">
      <c r="A20" s="4" t="s">
        <v>19</v>
      </c>
      <c r="B20" s="15">
        <v>620000</v>
      </c>
      <c r="C20" s="15">
        <v>12741</v>
      </c>
      <c r="D20" s="15">
        <f t="shared" si="0"/>
        <v>632741</v>
      </c>
    </row>
    <row r="21" spans="1:4" x14ac:dyDescent="0.2">
      <c r="A21" s="6" t="s">
        <v>4</v>
      </c>
      <c r="B21" s="16">
        <f>SUM(B14:B20)</f>
        <v>3860000</v>
      </c>
      <c r="C21" s="16">
        <f>SUM(C14:C20)</f>
        <v>588351.07000000007</v>
      </c>
      <c r="D21" s="16">
        <f>SUM(D14:D20)</f>
        <v>4448351.07</v>
      </c>
    </row>
    <row r="22" spans="1:4" x14ac:dyDescent="0.2">
      <c r="A22" s="7"/>
      <c r="B22" s="17"/>
      <c r="C22" s="17"/>
      <c r="D22" s="17"/>
    </row>
    <row r="23" spans="1:4" x14ac:dyDescent="0.2">
      <c r="A23" s="7"/>
      <c r="B23" s="17"/>
      <c r="C23" s="17"/>
      <c r="D23" s="17"/>
    </row>
    <row r="24" spans="1:4" x14ac:dyDescent="0.2">
      <c r="A24" s="7"/>
      <c r="B24" s="17"/>
      <c r="C24" s="17"/>
      <c r="D24" s="17"/>
    </row>
    <row r="25" spans="1:4" x14ac:dyDescent="0.2">
      <c r="A25" s="7"/>
      <c r="B25" s="17"/>
      <c r="C25" s="17"/>
      <c r="D25" s="17"/>
    </row>
    <row r="26" spans="1:4" x14ac:dyDescent="0.2">
      <c r="A26" s="7"/>
      <c r="B26" s="17"/>
      <c r="C26" s="17"/>
      <c r="D26" s="17"/>
    </row>
    <row r="27" spans="1:4" x14ac:dyDescent="0.2">
      <c r="A27" s="7"/>
      <c r="B27" s="17"/>
      <c r="C27" s="17"/>
      <c r="D27" s="17"/>
    </row>
    <row r="28" spans="1:4" x14ac:dyDescent="0.2">
      <c r="A28" s="7"/>
      <c r="B28" s="17"/>
      <c r="C28" s="17"/>
      <c r="D28" s="17"/>
    </row>
    <row r="29" spans="1:4" x14ac:dyDescent="0.2">
      <c r="A29" s="7"/>
      <c r="B29" s="17"/>
      <c r="C29" s="17"/>
      <c r="D29" s="17"/>
    </row>
    <row r="30" spans="1:4" x14ac:dyDescent="0.2">
      <c r="B30" s="17"/>
      <c r="C30" s="17"/>
      <c r="D30" s="17"/>
    </row>
    <row r="31" spans="1:4" x14ac:dyDescent="0.2">
      <c r="B31" s="17"/>
      <c r="C31" s="17"/>
      <c r="D31" s="17"/>
    </row>
    <row r="32" spans="1:4" x14ac:dyDescent="0.2">
      <c r="B32" s="17"/>
      <c r="C32" s="17"/>
      <c r="D32" s="17"/>
    </row>
    <row r="33" spans="2:4" x14ac:dyDescent="0.2">
      <c r="B33" s="17"/>
      <c r="C33" s="17"/>
      <c r="D33" s="17"/>
    </row>
    <row r="34" spans="2:4" x14ac:dyDescent="0.2">
      <c r="B34" s="17"/>
      <c r="C34" s="17"/>
      <c r="D34" s="17"/>
    </row>
    <row r="35" spans="2:4" x14ac:dyDescent="0.2">
      <c r="B35" s="17"/>
      <c r="C35" s="17"/>
      <c r="D35" s="17"/>
    </row>
    <row r="36" spans="2:4" x14ac:dyDescent="0.2">
      <c r="B36" s="17"/>
      <c r="C36" s="17"/>
      <c r="D36" s="17"/>
    </row>
    <row r="37" spans="2:4" x14ac:dyDescent="0.2">
      <c r="B37" s="17"/>
      <c r="C37" s="17"/>
      <c r="D37" s="17"/>
    </row>
    <row r="38" spans="2:4" x14ac:dyDescent="0.2">
      <c r="B38" s="17"/>
      <c r="C38" s="17"/>
      <c r="D38" s="17"/>
    </row>
    <row r="39" spans="2:4" x14ac:dyDescent="0.2">
      <c r="B39" s="17"/>
      <c r="C39" s="17"/>
      <c r="D39" s="17"/>
    </row>
  </sheetData>
  <mergeCells count="8">
    <mergeCell ref="A9:D9"/>
    <mergeCell ref="A11:D11"/>
    <mergeCell ref="A1:D1"/>
    <mergeCell ref="A2:D2"/>
    <mergeCell ref="A3:D3"/>
    <mergeCell ref="A4:D4"/>
    <mergeCell ref="A5:D5"/>
    <mergeCell ref="A6:D8"/>
  </mergeCells>
  <pageMargins left="0.75" right="0.4" top="0.75" bottom="0.75" header="0.5" footer="0.5"/>
  <pageSetup scale="90" firstPageNumber="0" orientation="portrait" useFirstPageNumber="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1:H77"/>
  <sheetViews>
    <sheetView workbookViewId="0">
      <selection activeCell="O40" sqref="O40"/>
    </sheetView>
  </sheetViews>
  <sheetFormatPr defaultRowHeight="12.75" x14ac:dyDescent="0.2"/>
  <cols>
    <col min="1" max="1" width="10" style="1" customWidth="1"/>
    <col min="2" max="7" width="15" style="1" customWidth="1"/>
    <col min="8" max="8" width="15.140625" style="1" hidden="1" customWidth="1"/>
    <col min="9" max="226" width="9.140625" style="1"/>
    <col min="227" max="227" width="9.5703125" style="1" customWidth="1"/>
    <col min="228" max="233" width="13.5703125" style="1" customWidth="1"/>
    <col min="234" max="234" width="9.140625" style="1"/>
    <col min="235" max="236" width="12.7109375" style="1" customWidth="1"/>
    <col min="237" max="482" width="9.140625" style="1"/>
    <col min="483" max="483" width="9.5703125" style="1" customWidth="1"/>
    <col min="484" max="489" width="13.5703125" style="1" customWidth="1"/>
    <col min="490" max="490" width="9.140625" style="1"/>
    <col min="491" max="492" width="12.7109375" style="1" customWidth="1"/>
    <col min="493" max="738" width="9.140625" style="1"/>
    <col min="739" max="739" width="9.5703125" style="1" customWidth="1"/>
    <col min="740" max="745" width="13.5703125" style="1" customWidth="1"/>
    <col min="746" max="746" width="9.140625" style="1"/>
    <col min="747" max="748" width="12.7109375" style="1" customWidth="1"/>
    <col min="749" max="994" width="9.140625" style="1"/>
    <col min="995" max="995" width="9.5703125" style="1" customWidth="1"/>
    <col min="996" max="1001" width="13.5703125" style="1" customWidth="1"/>
    <col min="1002" max="1002" width="9.140625" style="1"/>
    <col min="1003" max="1004" width="12.7109375" style="1" customWidth="1"/>
    <col min="1005" max="1250" width="9.140625" style="1"/>
    <col min="1251" max="1251" width="9.5703125" style="1" customWidth="1"/>
    <col min="1252" max="1257" width="13.5703125" style="1" customWidth="1"/>
    <col min="1258" max="1258" width="9.140625" style="1"/>
    <col min="1259" max="1260" width="12.7109375" style="1" customWidth="1"/>
    <col min="1261" max="1506" width="9.140625" style="1"/>
    <col min="1507" max="1507" width="9.5703125" style="1" customWidth="1"/>
    <col min="1508" max="1513" width="13.5703125" style="1" customWidth="1"/>
    <col min="1514" max="1514" width="9.140625" style="1"/>
    <col min="1515" max="1516" width="12.7109375" style="1" customWidth="1"/>
    <col min="1517" max="1762" width="9.140625" style="1"/>
    <col min="1763" max="1763" width="9.5703125" style="1" customWidth="1"/>
    <col min="1764" max="1769" width="13.5703125" style="1" customWidth="1"/>
    <col min="1770" max="1770" width="9.140625" style="1"/>
    <col min="1771" max="1772" width="12.7109375" style="1" customWidth="1"/>
    <col min="1773" max="2018" width="9.140625" style="1"/>
    <col min="2019" max="2019" width="9.5703125" style="1" customWidth="1"/>
    <col min="2020" max="2025" width="13.5703125" style="1" customWidth="1"/>
    <col min="2026" max="2026" width="9.140625" style="1"/>
    <col min="2027" max="2028" width="12.7109375" style="1" customWidth="1"/>
    <col min="2029" max="2274" width="9.140625" style="1"/>
    <col min="2275" max="2275" width="9.5703125" style="1" customWidth="1"/>
    <col min="2276" max="2281" width="13.5703125" style="1" customWidth="1"/>
    <col min="2282" max="2282" width="9.140625" style="1"/>
    <col min="2283" max="2284" width="12.7109375" style="1" customWidth="1"/>
    <col min="2285" max="2530" width="9.140625" style="1"/>
    <col min="2531" max="2531" width="9.5703125" style="1" customWidth="1"/>
    <col min="2532" max="2537" width="13.5703125" style="1" customWidth="1"/>
    <col min="2538" max="2538" width="9.140625" style="1"/>
    <col min="2539" max="2540" width="12.7109375" style="1" customWidth="1"/>
    <col min="2541" max="2786" width="9.140625" style="1"/>
    <col min="2787" max="2787" width="9.5703125" style="1" customWidth="1"/>
    <col min="2788" max="2793" width="13.5703125" style="1" customWidth="1"/>
    <col min="2794" max="2794" width="9.140625" style="1"/>
    <col min="2795" max="2796" width="12.7109375" style="1" customWidth="1"/>
    <col min="2797" max="3042" width="9.140625" style="1"/>
    <col min="3043" max="3043" width="9.5703125" style="1" customWidth="1"/>
    <col min="3044" max="3049" width="13.5703125" style="1" customWidth="1"/>
    <col min="3050" max="3050" width="9.140625" style="1"/>
    <col min="3051" max="3052" width="12.7109375" style="1" customWidth="1"/>
    <col min="3053" max="3298" width="9.140625" style="1"/>
    <col min="3299" max="3299" width="9.5703125" style="1" customWidth="1"/>
    <col min="3300" max="3305" width="13.5703125" style="1" customWidth="1"/>
    <col min="3306" max="3306" width="9.140625" style="1"/>
    <col min="3307" max="3308" width="12.7109375" style="1" customWidth="1"/>
    <col min="3309" max="3554" width="9.140625" style="1"/>
    <col min="3555" max="3555" width="9.5703125" style="1" customWidth="1"/>
    <col min="3556" max="3561" width="13.5703125" style="1" customWidth="1"/>
    <col min="3562" max="3562" width="9.140625" style="1"/>
    <col min="3563" max="3564" width="12.7109375" style="1" customWidth="1"/>
    <col min="3565" max="3810" width="9.140625" style="1"/>
    <col min="3811" max="3811" width="9.5703125" style="1" customWidth="1"/>
    <col min="3812" max="3817" width="13.5703125" style="1" customWidth="1"/>
    <col min="3818" max="3818" width="9.140625" style="1"/>
    <col min="3819" max="3820" width="12.7109375" style="1" customWidth="1"/>
    <col min="3821" max="4066" width="9.140625" style="1"/>
    <col min="4067" max="4067" width="9.5703125" style="1" customWidth="1"/>
    <col min="4068" max="4073" width="13.5703125" style="1" customWidth="1"/>
    <col min="4074" max="4074" width="9.140625" style="1"/>
    <col min="4075" max="4076" width="12.7109375" style="1" customWidth="1"/>
    <col min="4077" max="4322" width="9.140625" style="1"/>
    <col min="4323" max="4323" width="9.5703125" style="1" customWidth="1"/>
    <col min="4324" max="4329" width="13.5703125" style="1" customWidth="1"/>
    <col min="4330" max="4330" width="9.140625" style="1"/>
    <col min="4331" max="4332" width="12.7109375" style="1" customWidth="1"/>
    <col min="4333" max="4578" width="9.140625" style="1"/>
    <col min="4579" max="4579" width="9.5703125" style="1" customWidth="1"/>
    <col min="4580" max="4585" width="13.5703125" style="1" customWidth="1"/>
    <col min="4586" max="4586" width="9.140625" style="1"/>
    <col min="4587" max="4588" width="12.7109375" style="1" customWidth="1"/>
    <col min="4589" max="4834" width="9.140625" style="1"/>
    <col min="4835" max="4835" width="9.5703125" style="1" customWidth="1"/>
    <col min="4836" max="4841" width="13.5703125" style="1" customWidth="1"/>
    <col min="4842" max="4842" width="9.140625" style="1"/>
    <col min="4843" max="4844" width="12.7109375" style="1" customWidth="1"/>
    <col min="4845" max="5090" width="9.140625" style="1"/>
    <col min="5091" max="5091" width="9.5703125" style="1" customWidth="1"/>
    <col min="5092" max="5097" width="13.5703125" style="1" customWidth="1"/>
    <col min="5098" max="5098" width="9.140625" style="1"/>
    <col min="5099" max="5100" width="12.7109375" style="1" customWidth="1"/>
    <col min="5101" max="5346" width="9.140625" style="1"/>
    <col min="5347" max="5347" width="9.5703125" style="1" customWidth="1"/>
    <col min="5348" max="5353" width="13.5703125" style="1" customWidth="1"/>
    <col min="5354" max="5354" width="9.140625" style="1"/>
    <col min="5355" max="5356" width="12.7109375" style="1" customWidth="1"/>
    <col min="5357" max="5602" width="9.140625" style="1"/>
    <col min="5603" max="5603" width="9.5703125" style="1" customWidth="1"/>
    <col min="5604" max="5609" width="13.5703125" style="1" customWidth="1"/>
    <col min="5610" max="5610" width="9.140625" style="1"/>
    <col min="5611" max="5612" width="12.7109375" style="1" customWidth="1"/>
    <col min="5613" max="5858" width="9.140625" style="1"/>
    <col min="5859" max="5859" width="9.5703125" style="1" customWidth="1"/>
    <col min="5860" max="5865" width="13.5703125" style="1" customWidth="1"/>
    <col min="5866" max="5866" width="9.140625" style="1"/>
    <col min="5867" max="5868" width="12.7109375" style="1" customWidth="1"/>
    <col min="5869" max="6114" width="9.140625" style="1"/>
    <col min="6115" max="6115" width="9.5703125" style="1" customWidth="1"/>
    <col min="6116" max="6121" width="13.5703125" style="1" customWidth="1"/>
    <col min="6122" max="6122" width="9.140625" style="1"/>
    <col min="6123" max="6124" width="12.7109375" style="1" customWidth="1"/>
    <col min="6125" max="6370" width="9.140625" style="1"/>
    <col min="6371" max="6371" width="9.5703125" style="1" customWidth="1"/>
    <col min="6372" max="6377" width="13.5703125" style="1" customWidth="1"/>
    <col min="6378" max="6378" width="9.140625" style="1"/>
    <col min="6379" max="6380" width="12.7109375" style="1" customWidth="1"/>
    <col min="6381" max="6626" width="9.140625" style="1"/>
    <col min="6627" max="6627" width="9.5703125" style="1" customWidth="1"/>
    <col min="6628" max="6633" width="13.5703125" style="1" customWidth="1"/>
    <col min="6634" max="6634" width="9.140625" style="1"/>
    <col min="6635" max="6636" width="12.7109375" style="1" customWidth="1"/>
    <col min="6637" max="6882" width="9.140625" style="1"/>
    <col min="6883" max="6883" width="9.5703125" style="1" customWidth="1"/>
    <col min="6884" max="6889" width="13.5703125" style="1" customWidth="1"/>
    <col min="6890" max="6890" width="9.140625" style="1"/>
    <col min="6891" max="6892" width="12.7109375" style="1" customWidth="1"/>
    <col min="6893" max="7138" width="9.140625" style="1"/>
    <col min="7139" max="7139" width="9.5703125" style="1" customWidth="1"/>
    <col min="7140" max="7145" width="13.5703125" style="1" customWidth="1"/>
    <col min="7146" max="7146" width="9.140625" style="1"/>
    <col min="7147" max="7148" width="12.7109375" style="1" customWidth="1"/>
    <col min="7149" max="7394" width="9.140625" style="1"/>
    <col min="7395" max="7395" width="9.5703125" style="1" customWidth="1"/>
    <col min="7396" max="7401" width="13.5703125" style="1" customWidth="1"/>
    <col min="7402" max="7402" width="9.140625" style="1"/>
    <col min="7403" max="7404" width="12.7109375" style="1" customWidth="1"/>
    <col min="7405" max="7650" width="9.140625" style="1"/>
    <col min="7651" max="7651" width="9.5703125" style="1" customWidth="1"/>
    <col min="7652" max="7657" width="13.5703125" style="1" customWidth="1"/>
    <col min="7658" max="7658" width="9.140625" style="1"/>
    <col min="7659" max="7660" width="12.7109375" style="1" customWidth="1"/>
    <col min="7661" max="7906" width="9.140625" style="1"/>
    <col min="7907" max="7907" width="9.5703125" style="1" customWidth="1"/>
    <col min="7908" max="7913" width="13.5703125" style="1" customWidth="1"/>
    <col min="7914" max="7914" width="9.140625" style="1"/>
    <col min="7915" max="7916" width="12.7109375" style="1" customWidth="1"/>
    <col min="7917" max="8162" width="9.140625" style="1"/>
    <col min="8163" max="8163" width="9.5703125" style="1" customWidth="1"/>
    <col min="8164" max="8169" width="13.5703125" style="1" customWidth="1"/>
    <col min="8170" max="8170" width="9.140625" style="1"/>
    <col min="8171" max="8172" width="12.7109375" style="1" customWidth="1"/>
    <col min="8173" max="8418" width="9.140625" style="1"/>
    <col min="8419" max="8419" width="9.5703125" style="1" customWidth="1"/>
    <col min="8420" max="8425" width="13.5703125" style="1" customWidth="1"/>
    <col min="8426" max="8426" width="9.140625" style="1"/>
    <col min="8427" max="8428" width="12.7109375" style="1" customWidth="1"/>
    <col min="8429" max="8674" width="9.140625" style="1"/>
    <col min="8675" max="8675" width="9.5703125" style="1" customWidth="1"/>
    <col min="8676" max="8681" width="13.5703125" style="1" customWidth="1"/>
    <col min="8682" max="8682" width="9.140625" style="1"/>
    <col min="8683" max="8684" width="12.7109375" style="1" customWidth="1"/>
    <col min="8685" max="8930" width="9.140625" style="1"/>
    <col min="8931" max="8931" width="9.5703125" style="1" customWidth="1"/>
    <col min="8932" max="8937" width="13.5703125" style="1" customWidth="1"/>
    <col min="8938" max="8938" width="9.140625" style="1"/>
    <col min="8939" max="8940" width="12.7109375" style="1" customWidth="1"/>
    <col min="8941" max="9186" width="9.140625" style="1"/>
    <col min="9187" max="9187" width="9.5703125" style="1" customWidth="1"/>
    <col min="9188" max="9193" width="13.5703125" style="1" customWidth="1"/>
    <col min="9194" max="9194" width="9.140625" style="1"/>
    <col min="9195" max="9196" width="12.7109375" style="1" customWidth="1"/>
    <col min="9197" max="9442" width="9.140625" style="1"/>
    <col min="9443" max="9443" width="9.5703125" style="1" customWidth="1"/>
    <col min="9444" max="9449" width="13.5703125" style="1" customWidth="1"/>
    <col min="9450" max="9450" width="9.140625" style="1"/>
    <col min="9451" max="9452" width="12.7109375" style="1" customWidth="1"/>
    <col min="9453" max="9698" width="9.140625" style="1"/>
    <col min="9699" max="9699" width="9.5703125" style="1" customWidth="1"/>
    <col min="9700" max="9705" width="13.5703125" style="1" customWidth="1"/>
    <col min="9706" max="9706" width="9.140625" style="1"/>
    <col min="9707" max="9708" width="12.7109375" style="1" customWidth="1"/>
    <col min="9709" max="9954" width="9.140625" style="1"/>
    <col min="9955" max="9955" width="9.5703125" style="1" customWidth="1"/>
    <col min="9956" max="9961" width="13.5703125" style="1" customWidth="1"/>
    <col min="9962" max="9962" width="9.140625" style="1"/>
    <col min="9963" max="9964" width="12.7109375" style="1" customWidth="1"/>
    <col min="9965" max="10210" width="9.140625" style="1"/>
    <col min="10211" max="10211" width="9.5703125" style="1" customWidth="1"/>
    <col min="10212" max="10217" width="13.5703125" style="1" customWidth="1"/>
    <col min="10218" max="10218" width="9.140625" style="1"/>
    <col min="10219" max="10220" width="12.7109375" style="1" customWidth="1"/>
    <col min="10221" max="10466" width="9.140625" style="1"/>
    <col min="10467" max="10467" width="9.5703125" style="1" customWidth="1"/>
    <col min="10468" max="10473" width="13.5703125" style="1" customWidth="1"/>
    <col min="10474" max="10474" width="9.140625" style="1"/>
    <col min="10475" max="10476" width="12.7109375" style="1" customWidth="1"/>
    <col min="10477" max="10722" width="9.140625" style="1"/>
    <col min="10723" max="10723" width="9.5703125" style="1" customWidth="1"/>
    <col min="10724" max="10729" width="13.5703125" style="1" customWidth="1"/>
    <col min="10730" max="10730" width="9.140625" style="1"/>
    <col min="10731" max="10732" width="12.7109375" style="1" customWidth="1"/>
    <col min="10733" max="10978" width="9.140625" style="1"/>
    <col min="10979" max="10979" width="9.5703125" style="1" customWidth="1"/>
    <col min="10980" max="10985" width="13.5703125" style="1" customWidth="1"/>
    <col min="10986" max="10986" width="9.140625" style="1"/>
    <col min="10987" max="10988" width="12.7109375" style="1" customWidth="1"/>
    <col min="10989" max="11234" width="9.140625" style="1"/>
    <col min="11235" max="11235" width="9.5703125" style="1" customWidth="1"/>
    <col min="11236" max="11241" width="13.5703125" style="1" customWidth="1"/>
    <col min="11242" max="11242" width="9.140625" style="1"/>
    <col min="11243" max="11244" width="12.7109375" style="1" customWidth="1"/>
    <col min="11245" max="11490" width="9.140625" style="1"/>
    <col min="11491" max="11491" width="9.5703125" style="1" customWidth="1"/>
    <col min="11492" max="11497" width="13.5703125" style="1" customWidth="1"/>
    <col min="11498" max="11498" width="9.140625" style="1"/>
    <col min="11499" max="11500" width="12.7109375" style="1" customWidth="1"/>
    <col min="11501" max="11746" width="9.140625" style="1"/>
    <col min="11747" max="11747" width="9.5703125" style="1" customWidth="1"/>
    <col min="11748" max="11753" width="13.5703125" style="1" customWidth="1"/>
    <col min="11754" max="11754" width="9.140625" style="1"/>
    <col min="11755" max="11756" width="12.7109375" style="1" customWidth="1"/>
    <col min="11757" max="12002" width="9.140625" style="1"/>
    <col min="12003" max="12003" width="9.5703125" style="1" customWidth="1"/>
    <col min="12004" max="12009" width="13.5703125" style="1" customWidth="1"/>
    <col min="12010" max="12010" width="9.140625" style="1"/>
    <col min="12011" max="12012" width="12.7109375" style="1" customWidth="1"/>
    <col min="12013" max="12258" width="9.140625" style="1"/>
    <col min="12259" max="12259" width="9.5703125" style="1" customWidth="1"/>
    <col min="12260" max="12265" width="13.5703125" style="1" customWidth="1"/>
    <col min="12266" max="12266" width="9.140625" style="1"/>
    <col min="12267" max="12268" width="12.7109375" style="1" customWidth="1"/>
    <col min="12269" max="12514" width="9.140625" style="1"/>
    <col min="12515" max="12515" width="9.5703125" style="1" customWidth="1"/>
    <col min="12516" max="12521" width="13.5703125" style="1" customWidth="1"/>
    <col min="12522" max="12522" width="9.140625" style="1"/>
    <col min="12523" max="12524" width="12.7109375" style="1" customWidth="1"/>
    <col min="12525" max="12770" width="9.140625" style="1"/>
    <col min="12771" max="12771" width="9.5703125" style="1" customWidth="1"/>
    <col min="12772" max="12777" width="13.5703125" style="1" customWidth="1"/>
    <col min="12778" max="12778" width="9.140625" style="1"/>
    <col min="12779" max="12780" width="12.7109375" style="1" customWidth="1"/>
    <col min="12781" max="13026" width="9.140625" style="1"/>
    <col min="13027" max="13027" width="9.5703125" style="1" customWidth="1"/>
    <col min="13028" max="13033" width="13.5703125" style="1" customWidth="1"/>
    <col min="13034" max="13034" width="9.140625" style="1"/>
    <col min="13035" max="13036" width="12.7109375" style="1" customWidth="1"/>
    <col min="13037" max="13282" width="9.140625" style="1"/>
    <col min="13283" max="13283" width="9.5703125" style="1" customWidth="1"/>
    <col min="13284" max="13289" width="13.5703125" style="1" customWidth="1"/>
    <col min="13290" max="13290" width="9.140625" style="1"/>
    <col min="13291" max="13292" width="12.7109375" style="1" customWidth="1"/>
    <col min="13293" max="13538" width="9.140625" style="1"/>
    <col min="13539" max="13539" width="9.5703125" style="1" customWidth="1"/>
    <col min="13540" max="13545" width="13.5703125" style="1" customWidth="1"/>
    <col min="13546" max="13546" width="9.140625" style="1"/>
    <col min="13547" max="13548" width="12.7109375" style="1" customWidth="1"/>
    <col min="13549" max="13794" width="9.140625" style="1"/>
    <col min="13795" max="13795" width="9.5703125" style="1" customWidth="1"/>
    <col min="13796" max="13801" width="13.5703125" style="1" customWidth="1"/>
    <col min="13802" max="13802" width="9.140625" style="1"/>
    <col min="13803" max="13804" width="12.7109375" style="1" customWidth="1"/>
    <col min="13805" max="14050" width="9.140625" style="1"/>
    <col min="14051" max="14051" width="9.5703125" style="1" customWidth="1"/>
    <col min="14052" max="14057" width="13.5703125" style="1" customWidth="1"/>
    <col min="14058" max="14058" width="9.140625" style="1"/>
    <col min="14059" max="14060" width="12.7109375" style="1" customWidth="1"/>
    <col min="14061" max="14306" width="9.140625" style="1"/>
    <col min="14307" max="14307" width="9.5703125" style="1" customWidth="1"/>
    <col min="14308" max="14313" width="13.5703125" style="1" customWidth="1"/>
    <col min="14314" max="14314" width="9.140625" style="1"/>
    <col min="14315" max="14316" width="12.7109375" style="1" customWidth="1"/>
    <col min="14317" max="14562" width="9.140625" style="1"/>
    <col min="14563" max="14563" width="9.5703125" style="1" customWidth="1"/>
    <col min="14564" max="14569" width="13.5703125" style="1" customWidth="1"/>
    <col min="14570" max="14570" width="9.140625" style="1"/>
    <col min="14571" max="14572" width="12.7109375" style="1" customWidth="1"/>
    <col min="14573" max="14818" width="9.140625" style="1"/>
    <col min="14819" max="14819" width="9.5703125" style="1" customWidth="1"/>
    <col min="14820" max="14825" width="13.5703125" style="1" customWidth="1"/>
    <col min="14826" max="14826" width="9.140625" style="1"/>
    <col min="14827" max="14828" width="12.7109375" style="1" customWidth="1"/>
    <col min="14829" max="15074" width="9.140625" style="1"/>
    <col min="15075" max="15075" width="9.5703125" style="1" customWidth="1"/>
    <col min="15076" max="15081" width="13.5703125" style="1" customWidth="1"/>
    <col min="15082" max="15082" width="9.140625" style="1"/>
    <col min="15083" max="15084" width="12.7109375" style="1" customWidth="1"/>
    <col min="15085" max="15330" width="9.140625" style="1"/>
    <col min="15331" max="15331" width="9.5703125" style="1" customWidth="1"/>
    <col min="15332" max="15337" width="13.5703125" style="1" customWidth="1"/>
    <col min="15338" max="15338" width="9.140625" style="1"/>
    <col min="15339" max="15340" width="12.7109375" style="1" customWidth="1"/>
    <col min="15341" max="15586" width="9.140625" style="1"/>
    <col min="15587" max="15587" width="9.5703125" style="1" customWidth="1"/>
    <col min="15588" max="15593" width="13.5703125" style="1" customWidth="1"/>
    <col min="15594" max="15594" width="9.140625" style="1"/>
    <col min="15595" max="15596" width="12.7109375" style="1" customWidth="1"/>
    <col min="15597" max="15842" width="9.140625" style="1"/>
    <col min="15843" max="15843" width="9.5703125" style="1" customWidth="1"/>
    <col min="15844" max="15849" width="13.5703125" style="1" customWidth="1"/>
    <col min="15850" max="15850" width="9.140625" style="1"/>
    <col min="15851" max="15852" width="12.7109375" style="1" customWidth="1"/>
    <col min="15853" max="16098" width="9.140625" style="1"/>
    <col min="16099" max="16099" width="9.5703125" style="1" customWidth="1"/>
    <col min="16100" max="16105" width="13.5703125" style="1" customWidth="1"/>
    <col min="16106" max="16106" width="9.140625" style="1"/>
    <col min="16107" max="16108" width="12.7109375" style="1" customWidth="1"/>
    <col min="16109" max="16384" width="9.140625" style="1"/>
  </cols>
  <sheetData>
    <row r="1" spans="1:8" ht="18" x14ac:dyDescent="0.25">
      <c r="A1" s="100" t="s">
        <v>0</v>
      </c>
      <c r="B1" s="100"/>
      <c r="C1" s="100"/>
      <c r="D1" s="100"/>
      <c r="E1" s="100"/>
      <c r="F1" s="100"/>
      <c r="G1" s="100"/>
    </row>
    <row r="2" spans="1:8" ht="18" x14ac:dyDescent="0.25">
      <c r="A2" s="100" t="s">
        <v>154</v>
      </c>
      <c r="B2" s="100"/>
      <c r="C2" s="100"/>
      <c r="D2" s="100"/>
      <c r="E2" s="100"/>
      <c r="F2" s="100"/>
      <c r="G2" s="100"/>
    </row>
    <row r="3" spans="1:8" ht="15.75" x14ac:dyDescent="0.25">
      <c r="A3" s="101" t="s">
        <v>35</v>
      </c>
      <c r="B3" s="101"/>
      <c r="C3" s="101"/>
      <c r="D3" s="101"/>
      <c r="E3" s="101"/>
      <c r="F3" s="101"/>
      <c r="G3" s="101"/>
    </row>
    <row r="4" spans="1:8" ht="15" customHeight="1" x14ac:dyDescent="0.25">
      <c r="A4" s="8"/>
      <c r="B4" s="8"/>
      <c r="C4" s="8"/>
      <c r="D4" s="8"/>
      <c r="E4" s="8"/>
      <c r="F4" s="8"/>
      <c r="G4" s="8"/>
    </row>
    <row r="5" spans="1:8" s="68" customFormat="1" ht="12" customHeight="1" x14ac:dyDescent="0.25">
      <c r="A5" s="67"/>
      <c r="B5" s="106" t="s">
        <v>36</v>
      </c>
      <c r="C5" s="107"/>
      <c r="D5" s="108"/>
      <c r="E5" s="106" t="s">
        <v>37</v>
      </c>
      <c r="F5" s="109"/>
      <c r="G5" s="110"/>
      <c r="H5" s="71"/>
    </row>
    <row r="6" spans="1:8" s="68" customFormat="1" ht="12" customHeight="1" x14ac:dyDescent="0.25">
      <c r="A6" s="69" t="s">
        <v>31</v>
      </c>
      <c r="B6" s="70" t="s">
        <v>2</v>
      </c>
      <c r="C6" s="71" t="s">
        <v>3</v>
      </c>
      <c r="D6" s="72" t="s">
        <v>32</v>
      </c>
      <c r="E6" s="70" t="s">
        <v>2</v>
      </c>
      <c r="F6" s="71" t="s">
        <v>3</v>
      </c>
      <c r="G6" s="72" t="s">
        <v>32</v>
      </c>
    </row>
    <row r="7" spans="1:8" s="68" customFormat="1" ht="12" customHeight="1" x14ac:dyDescent="0.25">
      <c r="A7" s="73"/>
      <c r="B7" s="74"/>
      <c r="D7" s="75"/>
      <c r="E7" s="74"/>
      <c r="G7" s="75"/>
    </row>
    <row r="8" spans="1:8" s="68" customFormat="1" ht="12" customHeight="1" x14ac:dyDescent="0.25">
      <c r="A8" s="76">
        <v>2025</v>
      </c>
      <c r="B8" s="77">
        <f>+('2013A'!B14)+'2013B'!B14+'2016B'!B14+'2017B'!B14+'2017A'!B14+'2018A'!B14+'2020A'!B14+'2020B'!B14+('2021A'!B14)+'2022B'!B14+'2022C'!B14+'2024'!B14+'2024Tax'!B14</f>
        <v>3567000</v>
      </c>
      <c r="C8" s="78">
        <f>+('2013A'!E14)+'2013B'!C14+'2016B'!C14+'2017B'!C14+'2017A'!E14+'2018A'!C14+'2020A'!C14+('2020B'!E14)+('2021A'!E14)+'2022B'!C14+'2022C'!C14+'2024'!E14+'2024Tax'!C14</f>
        <v>1175915.74</v>
      </c>
      <c r="D8" s="79">
        <f t="shared" ref="D8:D21" si="0">+B8+C8</f>
        <v>4742915.74</v>
      </c>
      <c r="E8" s="77">
        <f>+('2013A'!C14)+'2012'!B14+'2015'!B14+'2016A'!B14+'2010(gtua)'!B14+'2017A'!C14+'2018'!B14+'2019'!B14+'2019ref'!B14+'2020ref'!B14+('2020B'!C14)+('2021A'!C14)+'2021B'!B14+'2023'!B14+'2024'!C14+'2022A'!D14</f>
        <v>5463960</v>
      </c>
      <c r="F8" s="78">
        <f>+('2013A'!F14)+'2012'!C14+'2015'!C14+'2016A'!C14+'2010(gtua)'!C14+'2017A'!F14+'2018'!C14+'2019'!C14+'2019ref'!C14+'2020ref'!C14+('2020B'!F14)+('2021A'!F14)+'2021B'!C14+'2022A'!G14+'2023'!C14+'2024'!F14</f>
        <v>7392383.6400000006</v>
      </c>
      <c r="G8" s="79">
        <f t="shared" ref="G8:G22" si="1">+E8+F8</f>
        <v>12856343.640000001</v>
      </c>
      <c r="H8" s="78"/>
    </row>
    <row r="9" spans="1:8" s="68" customFormat="1" ht="12" customHeight="1" x14ac:dyDescent="0.25">
      <c r="A9" s="76">
        <v>2026</v>
      </c>
      <c r="B9" s="77">
        <f>+'2013B'!B15+'2016B'!B15+'2017B'!B15+'2017A'!B15+'2018A'!B15+'2020A'!B15+('2020B'!B15)+('2021A'!B15)+'2022B'!B15+'2022C'!B15+'2024'!B15+'2024Tax'!B15</f>
        <v>3355000</v>
      </c>
      <c r="C9" s="78">
        <f>+'2013B'!C15+'2016B'!C15+'2017B'!C15+('2017A'!E15)+'2018A'!C15+'2020A'!C15+('2020B'!E15)+('2021A'!E15)+'2022B'!C15+'2022C'!C15+'2024'!E15+'2024Tax'!C15</f>
        <v>1036469.75</v>
      </c>
      <c r="D9" s="79">
        <f t="shared" si="0"/>
        <v>4391469.75</v>
      </c>
      <c r="E9" s="77">
        <f>+'2012'!B15+'2015'!B15+'2016A'!B15+'2010(gtua)'!B15+'2017A'!C15+'2018'!B15+'2019'!B15+'2019ref'!B15+'2020ref'!B15+('2020B'!C15)+('2021A'!C15)+'2021B'!B15+'2022A'!D15+'2023'!B15+'2024'!C15</f>
        <v>5562440</v>
      </c>
      <c r="F9" s="78">
        <f>+'2012'!C15+'2015'!C15+'2016A'!C15+'2010(gtua)'!C15+'2017A'!F15+'2018'!C15+'2019'!C15+'2019ref'!C15+'2020ref'!C15+('2020B'!F15)+('2021A'!F15)+'2021B'!C15+'2022A'!G15+'2023'!C15+'2024'!F15</f>
        <v>6276523</v>
      </c>
      <c r="G9" s="79">
        <f t="shared" si="1"/>
        <v>11838963</v>
      </c>
      <c r="H9" s="78"/>
    </row>
    <row r="10" spans="1:8" s="68" customFormat="1" ht="12" customHeight="1" x14ac:dyDescent="0.25">
      <c r="A10" s="76">
        <v>2027</v>
      </c>
      <c r="B10" s="77">
        <f>+'2013B'!B16+'2017B'!B16+'2017A'!B16+'2018A'!B16+'2020A'!B16+('2020B'!B16)+('2021A'!B16)+'2022B'!B16+'2022C'!B16+'2024'!B16+'2024Tax'!B16</f>
        <v>2625000</v>
      </c>
      <c r="C10" s="78">
        <f>+'2013B'!C16+'2017B'!C16+'2017A'!E16+'2018A'!C16+'2020A'!C16+('2020B'!E16)+('2021A'!E16)+'2022B'!C16+'2022C'!C16+'2024'!E16+'2024Tax'!C16</f>
        <v>941274</v>
      </c>
      <c r="D10" s="79">
        <f t="shared" si="0"/>
        <v>3566274</v>
      </c>
      <c r="E10" s="77">
        <f>++'2012'!B16+'2015'!B16+'2016A'!B16+'2010(gtua)'!B16+'2017A'!C16+'2018'!B16+'2019'!B16+'2019ref'!B16+'2020ref'!B16+('2020B'!C16)+('2021A'!C16)+'2021B'!B16+'2022A'!D16+'2023'!B16+'2024'!C16</f>
        <v>6273920</v>
      </c>
      <c r="F10" s="78">
        <f>+'2012'!C16+'2015'!C16+'2016A'!C16+'2010(gtua)'!C16+'2017A'!F16+'2018'!C16+'2019'!C16+'2019ref'!C16+'2020ref'!C16+('2020B'!F16)+('2021A'!F16)+'2021B'!C16+'2022A'!G16+'2023'!C16+'2024'!F16</f>
        <v>6053264.2400000002</v>
      </c>
      <c r="G10" s="79">
        <f t="shared" si="1"/>
        <v>12327184.24</v>
      </c>
      <c r="H10" s="78"/>
    </row>
    <row r="11" spans="1:8" s="68" customFormat="1" ht="12" customHeight="1" x14ac:dyDescent="0.25">
      <c r="A11" s="76">
        <v>2028</v>
      </c>
      <c r="B11" s="77">
        <f>+'2013B'!B17+'2017A'!B17+'2018A'!B17+'2020A'!B17+('2020B'!B17)+('2021A'!B17)+'2022B'!B17+'2022C'!B17+'2024'!B17+'2024Tax'!B17</f>
        <v>2395000</v>
      </c>
      <c r="C11" s="78">
        <f>+'2013B'!C17+'2017A'!E17+'2018A'!C17+'2020A'!C17+('2020B'!E17)+('2021A'!E17)+'2022B'!C17+'2022C'!C17++'2024'!E17+'2024Tax'!C17</f>
        <v>849801.5</v>
      </c>
      <c r="D11" s="79">
        <f t="shared" si="0"/>
        <v>3244801.5</v>
      </c>
      <c r="E11" s="77">
        <f>++'2012'!B17+'2015'!B17+'2016A'!B17+'2010(gtua)'!B17+'2017A'!C17+'2018'!B17+'2019'!B17+'2019ref'!B17+'2020ref'!B17+('2020B'!C17)+('2021A'!C17)+'2021B'!B17+'2022A'!D17+'2023'!B17+'2024'!C17</f>
        <v>6940400</v>
      </c>
      <c r="F11" s="78">
        <f>+'2012'!C17+'2015'!C17+'2016A'!C17+'2010(gtua)'!C17+'2017A'!F17+'2018'!C17+'2019'!C17+'2019ref'!C17+'2020ref'!C17+('2020B'!F17)+('2021A'!F17)+'2021B'!C17+'2022A'!G17+'2023'!C17+'2024'!F17</f>
        <v>5795652.1600000001</v>
      </c>
      <c r="G11" s="79">
        <f t="shared" si="1"/>
        <v>12736052.16</v>
      </c>
      <c r="H11" s="78"/>
    </row>
    <row r="12" spans="1:8" s="68" customFormat="1" ht="12" customHeight="1" x14ac:dyDescent="0.25">
      <c r="A12" s="76">
        <v>2029</v>
      </c>
      <c r="B12" s="77">
        <f>+'2013B'!B18+'2017A'!B18+'2020A'!B18+('2020B'!B18)+('2021A'!B18)+'2022B'!B18+'2022C'!B18+'2024'!B18+'2024Tax'!B18</f>
        <v>2495000</v>
      </c>
      <c r="C12" s="78">
        <f>+'2013B'!C18+'2017A'!E18+'2020A'!C18+('2020B'!E18)+('2021A'!E18)+'2022B'!C18+'2022C'!C18+'2024'!E18+'2024Tax'!C18</f>
        <v>757150.75</v>
      </c>
      <c r="D12" s="79">
        <f t="shared" si="0"/>
        <v>3252150.75</v>
      </c>
      <c r="E12" s="77">
        <f>+'2015'!B18+'2016A'!B18+'2010(gtua)'!B18+'2017A'!C18+'2018'!B18+'2019'!B18+'2020ref'!B18+('2020B'!C18)+('2021A'!C18)+'2021B'!B18+'2022A'!D18+'2023'!B18+'2024'!C18</f>
        <v>6311880</v>
      </c>
      <c r="F12" s="78">
        <f>+'2015'!C18+'2016A'!C18+'2010(gtua)'!C18+'2017A'!F18+'2018'!C18+'2019'!C18+'2020ref'!C18+('2020B'!F18)+('2021A'!F18)+'2021B'!C18+'2022A'!G18+'2023'!C18+'2024'!F18</f>
        <v>5502535.6600000001</v>
      </c>
      <c r="G12" s="79">
        <f t="shared" si="1"/>
        <v>11814415.66</v>
      </c>
      <c r="H12" s="78"/>
    </row>
    <row r="13" spans="1:8" s="68" customFormat="1" ht="12" customHeight="1" x14ac:dyDescent="0.25">
      <c r="A13" s="76">
        <v>2030</v>
      </c>
      <c r="B13" s="77">
        <f>+'2013B'!B19+'2017A'!B19+'2020A'!B19+('2020B'!B19)+('2021A'!B19)+'2022B'!B19+'2022C'!B19+'2024'!B19+'2024Tax'!B19</f>
        <v>2585000</v>
      </c>
      <c r="C13" s="78">
        <f>+'2013B'!C19+'2017A'!E19+('2020B'!E19)+'2020A'!C19+('2021A'!E19)+'2022B'!C19+'2022C'!C19+'2024'!E19+'2024Tax'!C19</f>
        <v>661493.75</v>
      </c>
      <c r="D13" s="79">
        <f t="shared" si="0"/>
        <v>3246493.75</v>
      </c>
      <c r="E13" s="77">
        <f>+'2015'!B19+'2016A'!B19+'2010(gtua)'!B19+'2017A'!C19+'2018'!B19+'2019'!B19+('2020B'!C19)+('2021A'!C19)+'2021B'!B19+'2022A'!D19+'2023'!B19+'2024'!C19</f>
        <v>6065960</v>
      </c>
      <c r="F13" s="78">
        <f>+'2015'!C19+'2016A'!C19+'2010(gtua)'!C19+'2017A'!F19+'2018'!C19+'2019'!C19+('2020B'!F19)+('2021A'!F19)+'2021B'!C19+'2022A'!G19+'2023'!C19+'2024'!F19</f>
        <v>5233062.8</v>
      </c>
      <c r="G13" s="79">
        <f t="shared" si="1"/>
        <v>11299022.800000001</v>
      </c>
      <c r="H13" s="78"/>
    </row>
    <row r="14" spans="1:8" s="68" customFormat="1" ht="12" customHeight="1" x14ac:dyDescent="0.25">
      <c r="A14" s="76">
        <v>2031</v>
      </c>
      <c r="B14" s="77">
        <f>+'2013B'!B20+'2017A'!B20+('2020B'!B20)+('2021A'!B20)+'2022B'!B20+'2022C'!B20+'2024'!B20+'2024Tax'!B20</f>
        <v>2420000</v>
      </c>
      <c r="C14" s="78">
        <f>+'2013B'!C20+'2017A'!E20+('2020B'!E20)+('2021A'!E20)+'2022B'!C20+'2022C'!C20+'2024'!E20+'2024Tax'!C20</f>
        <v>565516</v>
      </c>
      <c r="D14" s="79">
        <f t="shared" si="0"/>
        <v>2985516</v>
      </c>
      <c r="E14" s="77">
        <f>+'2015'!B20+'2016A'!B20+('2017A'!C20)+'2018'!B20+'2019'!B20+('2020B'!C20)+('2021A'!C20)+'2021B'!B20+'2022A'!D20+'2023'!B20+'2024'!C20</f>
        <v>6080000</v>
      </c>
      <c r="F14" s="78">
        <f>+'2015'!C20+'2016A'!C20+'2017A'!F20+'2018'!C20+'2019'!C20+('2020B'!F20)+('2021A'!F20)+'2021B'!C20+'2022A'!G20+'2023'!C20+'2024'!F20</f>
        <v>4957390</v>
      </c>
      <c r="G14" s="79">
        <f t="shared" si="1"/>
        <v>11037390</v>
      </c>
      <c r="H14" s="78"/>
    </row>
    <row r="15" spans="1:8" s="68" customFormat="1" ht="12" customHeight="1" x14ac:dyDescent="0.25">
      <c r="A15" s="76">
        <v>2032</v>
      </c>
      <c r="B15" s="77">
        <f>+'2013B'!B21+'2017A'!B21+('2020B'!B21)+('2021A'!B21)+'2022B'!B21+'2022C'!B21+'2024'!B21</f>
        <v>1865000</v>
      </c>
      <c r="C15" s="78">
        <f>+'2013B'!C21+'2017A'!E21+('2020B'!E21)+('2021A'!E21)+'2022B'!C21+'2022C'!C21+'2024'!E21</f>
        <v>480774.25</v>
      </c>
      <c r="D15" s="79">
        <f t="shared" si="0"/>
        <v>2345774.25</v>
      </c>
      <c r="E15" s="77">
        <f>+'2015'!B21+'2016A'!B21+'2017A'!C21+'2018'!B21+'2019'!B21+('2020B'!C21)+('2021A'!C21)+'2021B'!B21+'2022A'!D21+'2023'!B21+'2024'!C21</f>
        <v>6365000</v>
      </c>
      <c r="F15" s="78">
        <f>+'2015'!C21+'2016A'!C21+'2017A'!F21+'2018'!C21+'2019'!C21+('2020B'!F21)+('2021A'!F21)+'2021B'!C21+'2022A'!G21+'2023'!C21+'2024'!F21</f>
        <v>4678260</v>
      </c>
      <c r="G15" s="79">
        <f t="shared" si="1"/>
        <v>11043260</v>
      </c>
      <c r="H15" s="78"/>
    </row>
    <row r="16" spans="1:8" s="68" customFormat="1" ht="12" customHeight="1" x14ac:dyDescent="0.25">
      <c r="A16" s="76">
        <v>2033</v>
      </c>
      <c r="B16" s="77">
        <f>+'2013B'!B22+'2017A'!B22+('2020B'!B22)+('2021A'!B22)+'2022B'!B22+'2024'!B22</f>
        <v>1795000</v>
      </c>
      <c r="C16" s="78">
        <f>+'2013B'!C22+'2017A'!E22+('2020B'!E22)+('2021A'!E22)+'2022B'!C22+'2024'!E22</f>
        <v>415911</v>
      </c>
      <c r="D16" s="79">
        <f t="shared" si="0"/>
        <v>2210911</v>
      </c>
      <c r="E16" s="77">
        <f>+'2015'!B22+'2016A'!B22+'2017A'!C22+'2018'!B22+'2019'!B22+('2020B'!C22)+('2021A'!C22)+'2021B'!B22+'2022A'!D22+'2023'!B22+'2024'!C22</f>
        <v>6650000</v>
      </c>
      <c r="F16" s="78">
        <f>+'2015'!C22+'2016A'!C22+'2017A'!F22+'2018'!C22+'2019'!C22+('2020B'!F22)+('2021A'!F22)+'2021B'!C22+'2022A'!G22+'2023'!C22+'2024'!F22</f>
        <v>4395340</v>
      </c>
      <c r="G16" s="79">
        <f t="shared" si="1"/>
        <v>11045340</v>
      </c>
      <c r="H16" s="78"/>
    </row>
    <row r="17" spans="1:8" s="68" customFormat="1" ht="12" customHeight="1" x14ac:dyDescent="0.25">
      <c r="A17" s="76">
        <v>2034</v>
      </c>
      <c r="B17" s="77">
        <f>+'2017A'!B23+('2020B'!B23)+('2021A'!B23)+'2022B'!B23+'2024'!B23</f>
        <v>1695000</v>
      </c>
      <c r="C17" s="78">
        <f>+'2017A'!E23+('2020B'!E23)+('2021A'!E23)+'2022B'!C23+'2024'!E23</f>
        <v>360939</v>
      </c>
      <c r="D17" s="79">
        <f t="shared" si="0"/>
        <v>2055939</v>
      </c>
      <c r="E17" s="77">
        <f>+'2015'!B23+'2016A'!B23+'2017A'!C23+'2018'!B23+'2019'!B23+('2020B'!C23)+('2021A'!C23)+'2021B'!B23+'2022A'!D23+'2023'!B23+'2024'!C23</f>
        <v>6930000</v>
      </c>
      <c r="F17" s="78">
        <f>+'2015'!C23+'2016A'!C23+'2017A'!F23+'2018'!C23+'2019'!C23+('2020B'!F23)+('2021A'!F23)+'2021B'!C23+'2022A'!G23+'2023'!C23+'2024'!F23</f>
        <v>4108326.25</v>
      </c>
      <c r="G17" s="79">
        <f t="shared" si="1"/>
        <v>11038326.25</v>
      </c>
      <c r="H17" s="78"/>
    </row>
    <row r="18" spans="1:8" s="68" customFormat="1" ht="12" customHeight="1" x14ac:dyDescent="0.25">
      <c r="A18" s="76">
        <v>2035</v>
      </c>
      <c r="B18" s="77">
        <f>+'2017A'!B24+('2020B'!B24)+('2021A'!B24)+'2022B'!B24+'2024'!B24</f>
        <v>1760000</v>
      </c>
      <c r="C18" s="78">
        <f>+'2017A'!E24+('2020B'!E24)+('2021A'!E24)+'2022B'!C24+'2024'!E24</f>
        <v>306137</v>
      </c>
      <c r="D18" s="79">
        <f t="shared" si="0"/>
        <v>2066137</v>
      </c>
      <c r="E18" s="77">
        <f>+'2015'!B24+'2016A'!B24+'2010(gtua)'!B23+'2017A'!C24+'2018'!B24+'2019'!B24+('2020B'!C24)+('2021A'!C24)+'2021B'!B24+'2022A'!D24+'2023'!B24+'2024'!C24</f>
        <v>7230000</v>
      </c>
      <c r="F18" s="78">
        <f>+'2015'!C24+'2016A'!C24+'2017A'!F24+'2018'!C24+'2019'!C24+('2020B'!F24)+('2021A'!F24)+'2021B'!C24+'2022A'!G24+'2023'!C24+'2024'!F24</f>
        <v>3809313.75</v>
      </c>
      <c r="G18" s="79">
        <f t="shared" si="1"/>
        <v>11039313.75</v>
      </c>
      <c r="H18" s="78"/>
    </row>
    <row r="19" spans="1:8" s="68" customFormat="1" ht="12" customHeight="1" x14ac:dyDescent="0.25">
      <c r="A19" s="76">
        <v>2036</v>
      </c>
      <c r="B19" s="77">
        <f>+'2017A'!B25+('2020B'!B25)+('2021A'!B25)+'2022B'!B25+'2024'!B25</f>
        <v>1690000</v>
      </c>
      <c r="C19" s="78">
        <f>+'2017A'!E25+('2020B'!E25)+('2021A'!E25)+'2022B'!C25+'2024'!E25</f>
        <v>254180</v>
      </c>
      <c r="D19" s="79">
        <f t="shared" si="0"/>
        <v>1944180</v>
      </c>
      <c r="E19" s="77">
        <f>+'2016A'!B25+'2010(gtua)'!B24+'2017A'!C25+'2018'!B25+'2019'!B25+('2020B'!C25)+('2021A'!C25)+'2021B'!B25+'2022A'!D25+'2023'!B25+'2024'!C25</f>
        <v>7080000</v>
      </c>
      <c r="F19" s="78">
        <f>+'2016A'!C25+'2017A'!F25+'2018'!C25+'2019'!C25+('2020B'!F25)+('2021A'!F25)+'2021B'!C25+'2022A'!G25+'2023'!C25+'2024'!F25</f>
        <v>3505640</v>
      </c>
      <c r="G19" s="79">
        <f t="shared" si="1"/>
        <v>10585640</v>
      </c>
      <c r="H19" s="78"/>
    </row>
    <row r="20" spans="1:8" s="68" customFormat="1" ht="12" customHeight="1" x14ac:dyDescent="0.25">
      <c r="A20" s="76">
        <v>2037</v>
      </c>
      <c r="B20" s="77">
        <f>+'2017A'!B26+('2020B'!B26)+('2021A'!B26)+'2022B'!B26</f>
        <v>1680000</v>
      </c>
      <c r="C20" s="78">
        <f>+'2017A'!E26+('2020B'!E26)+('2021A'!E26)+'2022B'!C26</f>
        <v>206909</v>
      </c>
      <c r="D20" s="79">
        <f t="shared" si="0"/>
        <v>1886909</v>
      </c>
      <c r="E20" s="77">
        <f>+'2017A'!C26+'2018'!B26+'2019'!B26+('2020B'!C26)+('2021A'!C26)+'2021B'!B26+'2022A'!D26+'2023'!B26+'2024'!C26</f>
        <v>7265000</v>
      </c>
      <c r="F20" s="78">
        <f>+'2017A'!F26+'2018'!C26+'2019'!C26+('2020B'!F26)+('2021A'!F26)+'2021B'!C26+'2022A'!G26+'2023'!C26+'2024'!F26</f>
        <v>3202280</v>
      </c>
      <c r="G20" s="79">
        <f t="shared" si="1"/>
        <v>10467280</v>
      </c>
      <c r="H20" s="78"/>
    </row>
    <row r="21" spans="1:8" s="68" customFormat="1" ht="12" customHeight="1" x14ac:dyDescent="0.25">
      <c r="A21" s="76">
        <v>2038</v>
      </c>
      <c r="B21" s="77">
        <f>+('2020B'!B27)+('2021A'!B27)+'2022B'!B27</f>
        <v>1535000</v>
      </c>
      <c r="C21" s="78">
        <f>+('2020B'!E27)+('2021A'!E27)+'2022B'!C27</f>
        <v>162119.5</v>
      </c>
      <c r="D21" s="79">
        <f t="shared" si="0"/>
        <v>1697119.5</v>
      </c>
      <c r="E21" s="77">
        <f>+'2018'!B27+'2019'!B27+('2020B'!C27)+('2021A'!C27)+'2021B'!B27+'2022A'!D27+'2023'!B27+'2024'!C27</f>
        <v>7310000</v>
      </c>
      <c r="F21" s="78">
        <f>+'2018'!C27+'2019'!C27+('2020B'!F27)+('2021A'!F27)+'2021B'!C27+'2022A'!G27+'2023'!C27+'2024'!F27</f>
        <v>2894240</v>
      </c>
      <c r="G21" s="79">
        <f t="shared" si="1"/>
        <v>10204240</v>
      </c>
      <c r="H21" s="78"/>
    </row>
    <row r="22" spans="1:8" s="68" customFormat="1" ht="12" customHeight="1" x14ac:dyDescent="0.25">
      <c r="A22" s="76">
        <v>2039</v>
      </c>
      <c r="B22" s="77">
        <f>+('2020B'!B28)+('2021A'!B28)+'2022B'!B28</f>
        <v>1575000</v>
      </c>
      <c r="C22" s="78">
        <f>+('2020B'!E28)+('2021A'!E28)+'2022B'!C28</f>
        <v>118504</v>
      </c>
      <c r="D22" s="79">
        <f>+B22+C22</f>
        <v>1693504</v>
      </c>
      <c r="E22" s="77">
        <f>+'2019'!B28+('2020B'!C28)+('2021A'!C28)+'2021B'!B28+'2022A'!D28+'2023'!B28+'2024'!C28</f>
        <v>7120000</v>
      </c>
      <c r="F22" s="78">
        <f>+'2019'!C28+('2020B'!F28)+('2021A'!F28)+'2021B'!C28+'2022A'!G28+'2023'!C28+'2024'!F28</f>
        <v>2584218.75</v>
      </c>
      <c r="G22" s="79">
        <f t="shared" si="1"/>
        <v>9704218.75</v>
      </c>
      <c r="H22" s="78"/>
    </row>
    <row r="23" spans="1:8" s="68" customFormat="1" ht="12" customHeight="1" x14ac:dyDescent="0.25">
      <c r="A23" s="76">
        <v>2040</v>
      </c>
      <c r="B23" s="77">
        <f>+('2020B'!B29)+('2021A'!B29)+'2022B'!B29</f>
        <v>1625000</v>
      </c>
      <c r="C23" s="78">
        <f>+('2020B'!E29)+('2021A'!E29)+'2022B'!C29</f>
        <v>73434.5</v>
      </c>
      <c r="D23" s="79">
        <f>+B23+C23</f>
        <v>1698434.5</v>
      </c>
      <c r="E23" s="77">
        <f>+('2020B'!C29)+('2021A'!C29)+'2021B'!B29+'2022A'!D29+'2023'!B29+'2024'!C29</f>
        <v>7040000</v>
      </c>
      <c r="F23" s="78">
        <f>+('2020B'!F29)+('2021A'!F29)+'2021B'!C29+'2022A'!G29+'2023'!C29+'2024'!F29</f>
        <v>2287487.5</v>
      </c>
      <c r="G23" s="79">
        <f>+E23+F23</f>
        <v>9327487.5</v>
      </c>
      <c r="H23" s="78"/>
    </row>
    <row r="24" spans="1:8" s="68" customFormat="1" ht="12" customHeight="1" x14ac:dyDescent="0.25">
      <c r="A24" s="76">
        <v>2041</v>
      </c>
      <c r="B24" s="77">
        <f>+('2021A'!B30)+'2022B'!B30</f>
        <v>1215000</v>
      </c>
      <c r="C24" s="78">
        <f>+('2021A'!E30)+'2022B'!C30</f>
        <v>33636</v>
      </c>
      <c r="D24" s="79">
        <f>+B24+C24</f>
        <v>1248636</v>
      </c>
      <c r="E24" s="77">
        <f>+('2021A'!C30)+'2021B'!B30+'2022A'!D30+'2023'!B30+'2024'!C30</f>
        <v>7050000</v>
      </c>
      <c r="F24" s="78">
        <f>+('2021A'!F30)+'2021B'!C30+'2022A'!G30+'2023'!C30+'2024'!F30</f>
        <v>2001362.5</v>
      </c>
      <c r="G24" s="79">
        <f>+E24+F24</f>
        <v>9051362.5</v>
      </c>
      <c r="H24" s="78"/>
    </row>
    <row r="25" spans="1:8" s="68" customFormat="1" ht="12" customHeight="1" x14ac:dyDescent="0.25">
      <c r="A25" s="76">
        <v>2042</v>
      </c>
      <c r="B25" s="77">
        <f>+'2022B'!B31</f>
        <v>345000</v>
      </c>
      <c r="C25" s="78">
        <f>+'2022B'!C31</f>
        <v>8383.5</v>
      </c>
      <c r="D25" s="79">
        <f>+B25+C25</f>
        <v>353383.5</v>
      </c>
      <c r="E25" s="77">
        <f>+'2022A'!D31+'2023'!B31+'2024'!C31</f>
        <v>6370000</v>
      </c>
      <c r="F25" s="78">
        <f>+'2022A'!G31+'2023'!C31+'2024'!F31</f>
        <v>1717037.5</v>
      </c>
      <c r="G25" s="79">
        <f>+E25+F25</f>
        <v>8087037.5</v>
      </c>
      <c r="H25" s="78"/>
    </row>
    <row r="26" spans="1:8" s="68" customFormat="1" ht="12" customHeight="1" x14ac:dyDescent="0.25">
      <c r="A26" s="76">
        <v>2043</v>
      </c>
      <c r="B26" s="77">
        <v>0</v>
      </c>
      <c r="C26" s="78">
        <v>0</v>
      </c>
      <c r="D26" s="79">
        <f>+B26+C26</f>
        <v>0</v>
      </c>
      <c r="E26" s="77">
        <f>'2023'!B32+'2024'!C32</f>
        <v>4975000</v>
      </c>
      <c r="F26" s="78">
        <f>'2023'!C32+'2024'!F32</f>
        <v>1463581.25</v>
      </c>
      <c r="G26" s="79">
        <f>+E26+F26</f>
        <v>6438581.25</v>
      </c>
      <c r="H26" s="78"/>
    </row>
    <row r="27" spans="1:8" s="68" customFormat="1" ht="12" customHeight="1" x14ac:dyDescent="0.25">
      <c r="A27" s="76">
        <v>2044</v>
      </c>
      <c r="B27" s="77">
        <v>0</v>
      </c>
      <c r="C27" s="78">
        <v>0</v>
      </c>
      <c r="D27" s="79">
        <f t="shared" ref="D27:D37" si="2">+B27+C27</f>
        <v>0</v>
      </c>
      <c r="E27" s="77">
        <f>'2024'!C33</f>
        <v>2070000</v>
      </c>
      <c r="F27" s="78">
        <f>'2024'!F33</f>
        <v>1298725</v>
      </c>
      <c r="G27" s="79">
        <f t="shared" ref="G27:G37" si="3">+E27+F27</f>
        <v>3368725</v>
      </c>
      <c r="H27" s="78"/>
    </row>
    <row r="28" spans="1:8" s="68" customFormat="1" ht="12" customHeight="1" x14ac:dyDescent="0.25">
      <c r="A28" s="76">
        <v>2045</v>
      </c>
      <c r="B28" s="77">
        <v>0</v>
      </c>
      <c r="C28" s="78">
        <v>0</v>
      </c>
      <c r="D28" s="79">
        <f t="shared" si="2"/>
        <v>0</v>
      </c>
      <c r="E28" s="77">
        <f>'2024'!C34</f>
        <v>2175000</v>
      </c>
      <c r="F28" s="78">
        <f>'2024'!F34</f>
        <v>1192600</v>
      </c>
      <c r="G28" s="79">
        <f t="shared" si="3"/>
        <v>3367600</v>
      </c>
      <c r="H28" s="78"/>
    </row>
    <row r="29" spans="1:8" s="68" customFormat="1" ht="12" customHeight="1" x14ac:dyDescent="0.25">
      <c r="A29" s="76">
        <v>2046</v>
      </c>
      <c r="B29" s="77">
        <v>0</v>
      </c>
      <c r="C29" s="78">
        <v>0</v>
      </c>
      <c r="D29" s="79">
        <f t="shared" si="2"/>
        <v>0</v>
      </c>
      <c r="E29" s="77">
        <f>'2024'!C35</f>
        <v>2285000</v>
      </c>
      <c r="F29" s="78">
        <f>'2024'!F35</f>
        <v>1081100</v>
      </c>
      <c r="G29" s="79">
        <f t="shared" si="3"/>
        <v>3366100</v>
      </c>
      <c r="H29" s="78"/>
    </row>
    <row r="30" spans="1:8" s="68" customFormat="1" ht="12" customHeight="1" x14ac:dyDescent="0.25">
      <c r="A30" s="76">
        <v>2047</v>
      </c>
      <c r="B30" s="77">
        <v>0</v>
      </c>
      <c r="C30" s="78">
        <v>0</v>
      </c>
      <c r="D30" s="79">
        <f t="shared" si="2"/>
        <v>0</v>
      </c>
      <c r="E30" s="77">
        <f>'2024'!C36</f>
        <v>2405000</v>
      </c>
      <c r="F30" s="78">
        <f>'2024'!F36</f>
        <v>963850</v>
      </c>
      <c r="G30" s="79">
        <f t="shared" si="3"/>
        <v>3368850</v>
      </c>
      <c r="H30" s="78"/>
    </row>
    <row r="31" spans="1:8" s="68" customFormat="1" ht="12" customHeight="1" x14ac:dyDescent="0.25">
      <c r="A31" s="76">
        <v>2048</v>
      </c>
      <c r="B31" s="77">
        <v>0</v>
      </c>
      <c r="C31" s="78">
        <v>0</v>
      </c>
      <c r="D31" s="79">
        <f t="shared" si="2"/>
        <v>0</v>
      </c>
      <c r="E31" s="77">
        <f>'2024'!C37</f>
        <v>2525000</v>
      </c>
      <c r="F31" s="78">
        <f>'2024'!F37</f>
        <v>840600</v>
      </c>
      <c r="G31" s="79">
        <f t="shared" si="3"/>
        <v>3365600</v>
      </c>
      <c r="H31" s="78"/>
    </row>
    <row r="32" spans="1:8" s="68" customFormat="1" ht="12" customHeight="1" x14ac:dyDescent="0.25">
      <c r="A32" s="76">
        <v>2049</v>
      </c>
      <c r="B32" s="77">
        <v>0</v>
      </c>
      <c r="C32" s="78">
        <v>0</v>
      </c>
      <c r="D32" s="79">
        <f t="shared" si="2"/>
        <v>0</v>
      </c>
      <c r="E32" s="77">
        <f>'2024'!C38</f>
        <v>2655000</v>
      </c>
      <c r="F32" s="78">
        <f>'2024'!F38</f>
        <v>711100</v>
      </c>
      <c r="G32" s="79">
        <f t="shared" si="3"/>
        <v>3366100</v>
      </c>
      <c r="H32" s="78"/>
    </row>
    <row r="33" spans="1:8" s="68" customFormat="1" ht="12" customHeight="1" x14ac:dyDescent="0.25">
      <c r="A33" s="76">
        <v>2050</v>
      </c>
      <c r="B33" s="77">
        <v>0</v>
      </c>
      <c r="C33" s="78">
        <v>0</v>
      </c>
      <c r="D33" s="79">
        <f t="shared" si="2"/>
        <v>0</v>
      </c>
      <c r="E33" s="77">
        <f>'2024'!C39</f>
        <v>2780000</v>
      </c>
      <c r="F33" s="78">
        <f>'2024'!F39</f>
        <v>585650</v>
      </c>
      <c r="G33" s="79">
        <f t="shared" si="3"/>
        <v>3365650</v>
      </c>
      <c r="H33" s="78"/>
    </row>
    <row r="34" spans="1:8" s="68" customFormat="1" ht="12" customHeight="1" x14ac:dyDescent="0.25">
      <c r="A34" s="76">
        <v>2051</v>
      </c>
      <c r="B34" s="77">
        <v>0</v>
      </c>
      <c r="C34" s="78">
        <v>0</v>
      </c>
      <c r="D34" s="79">
        <f t="shared" si="2"/>
        <v>0</v>
      </c>
      <c r="E34" s="77">
        <f>'2024'!C40</f>
        <v>2905000</v>
      </c>
      <c r="F34" s="78">
        <f>'2024'!F40</f>
        <v>464843.75</v>
      </c>
      <c r="G34" s="79">
        <f t="shared" si="3"/>
        <v>3369843.75</v>
      </c>
      <c r="H34" s="78"/>
    </row>
    <row r="35" spans="1:8" s="68" customFormat="1" ht="12" customHeight="1" x14ac:dyDescent="0.25">
      <c r="A35" s="76">
        <v>2052</v>
      </c>
      <c r="B35" s="77">
        <v>0</v>
      </c>
      <c r="C35" s="78">
        <v>0</v>
      </c>
      <c r="D35" s="79">
        <f t="shared" si="2"/>
        <v>0</v>
      </c>
      <c r="E35" s="77">
        <f>'2024'!C41</f>
        <v>3030000</v>
      </c>
      <c r="F35" s="78">
        <f>'2024'!F41</f>
        <v>338725</v>
      </c>
      <c r="G35" s="79">
        <f t="shared" si="3"/>
        <v>3368725</v>
      </c>
      <c r="H35" s="78"/>
    </row>
    <row r="36" spans="1:8" s="68" customFormat="1" ht="12" customHeight="1" x14ac:dyDescent="0.25">
      <c r="A36" s="76">
        <v>2053</v>
      </c>
      <c r="B36" s="77">
        <v>0</v>
      </c>
      <c r="C36" s="78">
        <v>0</v>
      </c>
      <c r="D36" s="79">
        <f t="shared" si="2"/>
        <v>0</v>
      </c>
      <c r="E36" s="77">
        <f>'2024'!C42</f>
        <v>3160000</v>
      </c>
      <c r="F36" s="78">
        <f>'2024'!F42</f>
        <v>207187.5</v>
      </c>
      <c r="G36" s="79">
        <f t="shared" si="3"/>
        <v>3367187.5</v>
      </c>
      <c r="H36" s="78"/>
    </row>
    <row r="37" spans="1:8" s="68" customFormat="1" ht="12" customHeight="1" x14ac:dyDescent="0.25">
      <c r="A37" s="76">
        <v>2054</v>
      </c>
      <c r="B37" s="77">
        <v>0</v>
      </c>
      <c r="C37" s="78">
        <v>0</v>
      </c>
      <c r="D37" s="79">
        <f t="shared" si="2"/>
        <v>0</v>
      </c>
      <c r="E37" s="77">
        <f>'2024'!C43</f>
        <v>3295000</v>
      </c>
      <c r="F37" s="78">
        <f>'2024'!F43</f>
        <v>70018.75</v>
      </c>
      <c r="G37" s="79">
        <f t="shared" si="3"/>
        <v>3365018.75</v>
      </c>
      <c r="H37" s="78"/>
    </row>
    <row r="38" spans="1:8" s="68" customFormat="1" ht="12" customHeight="1" x14ac:dyDescent="0.25">
      <c r="A38" s="86" t="s">
        <v>4</v>
      </c>
      <c r="B38" s="87">
        <f t="shared" ref="B38:G38" si="4">SUM(B8:B37)</f>
        <v>36222000</v>
      </c>
      <c r="C38" s="95">
        <f t="shared" si="4"/>
        <v>8408549.2400000002</v>
      </c>
      <c r="D38" s="96">
        <f t="shared" si="4"/>
        <v>44630549.240000002</v>
      </c>
      <c r="E38" s="87">
        <f t="shared" si="4"/>
        <v>153368560</v>
      </c>
      <c r="F38" s="95">
        <f t="shared" si="4"/>
        <v>85612299</v>
      </c>
      <c r="G38" s="96">
        <f t="shared" si="4"/>
        <v>238980859</v>
      </c>
    </row>
    <row r="39" spans="1:8" s="68" customFormat="1" ht="12" customHeight="1" x14ac:dyDescent="0.25">
      <c r="A39" s="88"/>
      <c r="B39" s="89"/>
      <c r="C39" s="89"/>
      <c r="D39" s="89"/>
      <c r="E39" s="89"/>
      <c r="F39" s="89"/>
      <c r="G39" s="89"/>
    </row>
    <row r="40" spans="1:8" s="68" customFormat="1" ht="12" customHeight="1" x14ac:dyDescent="0.25">
      <c r="A40" s="85"/>
      <c r="C40" s="90"/>
      <c r="D40" s="106" t="s">
        <v>34</v>
      </c>
      <c r="E40" s="107"/>
      <c r="F40" s="108"/>
      <c r="G40" s="82"/>
    </row>
    <row r="41" spans="1:8" s="68" customFormat="1" ht="12" customHeight="1" x14ac:dyDescent="0.25">
      <c r="C41" s="69" t="s">
        <v>31</v>
      </c>
      <c r="D41" s="70" t="s">
        <v>2</v>
      </c>
      <c r="E41" s="71" t="s">
        <v>3</v>
      </c>
      <c r="F41" s="72" t="s">
        <v>32</v>
      </c>
      <c r="G41" s="82"/>
    </row>
    <row r="42" spans="1:8" s="68" customFormat="1" ht="12" customHeight="1" x14ac:dyDescent="0.25">
      <c r="C42" s="73"/>
      <c r="D42" s="74"/>
      <c r="F42" s="75"/>
    </row>
    <row r="43" spans="1:8" s="68" customFormat="1" ht="12" customHeight="1" x14ac:dyDescent="0.25">
      <c r="C43" s="76">
        <v>2025</v>
      </c>
      <c r="D43" s="92">
        <f t="shared" ref="D43:D72" si="5">+B8+E8</f>
        <v>9030960</v>
      </c>
      <c r="E43" s="91">
        <f t="shared" ref="E43:E72" si="6">+C8+F8</f>
        <v>8568299.3800000008</v>
      </c>
      <c r="F43" s="78">
        <f t="shared" ref="F43:F46" si="7">+D43+E43</f>
        <v>17599259.380000003</v>
      </c>
      <c r="G43" s="66"/>
      <c r="H43" s="65"/>
    </row>
    <row r="44" spans="1:8" s="68" customFormat="1" ht="12" customHeight="1" x14ac:dyDescent="0.25">
      <c r="C44" s="76">
        <v>2026</v>
      </c>
      <c r="D44" s="92">
        <f t="shared" si="5"/>
        <v>8917440</v>
      </c>
      <c r="E44" s="91">
        <f t="shared" si="6"/>
        <v>7312992.75</v>
      </c>
      <c r="F44" s="78">
        <f t="shared" si="7"/>
        <v>16230432.75</v>
      </c>
      <c r="G44" s="66"/>
      <c r="H44" s="65"/>
    </row>
    <row r="45" spans="1:8" s="68" customFormat="1" ht="12" customHeight="1" x14ac:dyDescent="0.25">
      <c r="C45" s="76">
        <v>2027</v>
      </c>
      <c r="D45" s="92">
        <f t="shared" si="5"/>
        <v>8898920</v>
      </c>
      <c r="E45" s="91">
        <f t="shared" si="6"/>
        <v>6994538.2400000002</v>
      </c>
      <c r="F45" s="78">
        <f t="shared" si="7"/>
        <v>15893458.24</v>
      </c>
      <c r="G45" s="66"/>
      <c r="H45" s="65"/>
    </row>
    <row r="46" spans="1:8" s="68" customFormat="1" ht="12" customHeight="1" x14ac:dyDescent="0.25">
      <c r="C46" s="76">
        <v>2028</v>
      </c>
      <c r="D46" s="92">
        <f t="shared" si="5"/>
        <v>9335400</v>
      </c>
      <c r="E46" s="91">
        <f t="shared" si="6"/>
        <v>6645453.6600000001</v>
      </c>
      <c r="F46" s="78">
        <f t="shared" si="7"/>
        <v>15980853.66</v>
      </c>
      <c r="G46" s="66"/>
      <c r="H46" s="65"/>
    </row>
    <row r="47" spans="1:8" s="68" customFormat="1" ht="12" customHeight="1" x14ac:dyDescent="0.25">
      <c r="C47" s="76">
        <v>2029</v>
      </c>
      <c r="D47" s="92">
        <f t="shared" si="5"/>
        <v>8806880</v>
      </c>
      <c r="E47" s="91">
        <f t="shared" si="6"/>
        <v>6259686.4100000001</v>
      </c>
      <c r="F47" s="78">
        <f>+D47+E47</f>
        <v>15066566.41</v>
      </c>
      <c r="G47" s="66"/>
      <c r="H47" s="65"/>
    </row>
    <row r="48" spans="1:8" s="68" customFormat="1" ht="12" customHeight="1" x14ac:dyDescent="0.25">
      <c r="C48" s="76">
        <v>2030</v>
      </c>
      <c r="D48" s="92">
        <f t="shared" si="5"/>
        <v>8650960</v>
      </c>
      <c r="E48" s="91">
        <f t="shared" si="6"/>
        <v>5894556.5499999998</v>
      </c>
      <c r="F48" s="78">
        <f>+D48+E48</f>
        <v>14545516.550000001</v>
      </c>
      <c r="G48" s="66"/>
      <c r="H48" s="65"/>
    </row>
    <row r="49" spans="2:8" s="68" customFormat="1" ht="12" customHeight="1" x14ac:dyDescent="0.25">
      <c r="C49" s="76">
        <v>2031</v>
      </c>
      <c r="D49" s="92">
        <f t="shared" si="5"/>
        <v>8500000</v>
      </c>
      <c r="E49" s="91">
        <f t="shared" si="6"/>
        <v>5522906</v>
      </c>
      <c r="F49" s="78">
        <f t="shared" ref="F49:F54" si="8">+D49+E49</f>
        <v>14022906</v>
      </c>
      <c r="G49" s="66"/>
      <c r="H49" s="65"/>
    </row>
    <row r="50" spans="2:8" s="68" customFormat="1" ht="12" customHeight="1" x14ac:dyDescent="0.25">
      <c r="B50" s="85"/>
      <c r="C50" s="76">
        <v>2032</v>
      </c>
      <c r="D50" s="92">
        <f t="shared" si="5"/>
        <v>8230000</v>
      </c>
      <c r="E50" s="91">
        <f t="shared" si="6"/>
        <v>5159034.25</v>
      </c>
      <c r="F50" s="78">
        <f t="shared" si="8"/>
        <v>13389034.25</v>
      </c>
      <c r="G50" s="66"/>
      <c r="H50" s="65"/>
    </row>
    <row r="51" spans="2:8" s="68" customFormat="1" ht="12" customHeight="1" x14ac:dyDescent="0.25">
      <c r="B51" s="85"/>
      <c r="C51" s="76">
        <v>2033</v>
      </c>
      <c r="D51" s="92">
        <f t="shared" si="5"/>
        <v>8445000</v>
      </c>
      <c r="E51" s="91">
        <f t="shared" si="6"/>
        <v>4811251</v>
      </c>
      <c r="F51" s="78">
        <f t="shared" si="8"/>
        <v>13256251</v>
      </c>
      <c r="G51" s="66"/>
      <c r="H51" s="65"/>
    </row>
    <row r="52" spans="2:8" s="68" customFormat="1" ht="12" customHeight="1" x14ac:dyDescent="0.25">
      <c r="B52" s="85"/>
      <c r="C52" s="76">
        <v>2034</v>
      </c>
      <c r="D52" s="92">
        <f t="shared" si="5"/>
        <v>8625000</v>
      </c>
      <c r="E52" s="91">
        <f t="shared" si="6"/>
        <v>4469265.25</v>
      </c>
      <c r="F52" s="78">
        <f t="shared" si="8"/>
        <v>13094265.25</v>
      </c>
      <c r="G52" s="66"/>
      <c r="H52" s="65"/>
    </row>
    <row r="53" spans="2:8" s="68" customFormat="1" ht="12" customHeight="1" x14ac:dyDescent="0.25">
      <c r="B53" s="85"/>
      <c r="C53" s="76">
        <v>2035</v>
      </c>
      <c r="D53" s="92">
        <f t="shared" si="5"/>
        <v>8990000</v>
      </c>
      <c r="E53" s="91">
        <f t="shared" si="6"/>
        <v>4115450.75</v>
      </c>
      <c r="F53" s="78">
        <f t="shared" si="8"/>
        <v>13105450.75</v>
      </c>
      <c r="G53" s="66"/>
      <c r="H53" s="65"/>
    </row>
    <row r="54" spans="2:8" s="68" customFormat="1" ht="12" customHeight="1" x14ac:dyDescent="0.25">
      <c r="B54" s="85"/>
      <c r="C54" s="76">
        <v>2036</v>
      </c>
      <c r="D54" s="92">
        <f t="shared" si="5"/>
        <v>8770000</v>
      </c>
      <c r="E54" s="91">
        <f t="shared" si="6"/>
        <v>3759820</v>
      </c>
      <c r="F54" s="78">
        <f t="shared" si="8"/>
        <v>12529820</v>
      </c>
      <c r="G54" s="66"/>
      <c r="H54" s="65"/>
    </row>
    <row r="55" spans="2:8" s="68" customFormat="1" ht="12" customHeight="1" x14ac:dyDescent="0.25">
      <c r="B55" s="85"/>
      <c r="C55" s="76">
        <v>2037</v>
      </c>
      <c r="D55" s="92">
        <f t="shared" si="5"/>
        <v>8945000</v>
      </c>
      <c r="E55" s="91">
        <f t="shared" si="6"/>
        <v>3409189</v>
      </c>
      <c r="F55" s="78">
        <f t="shared" ref="F55:F56" si="9">+D55+E55</f>
        <v>12354189</v>
      </c>
      <c r="G55" s="66"/>
      <c r="H55" s="65"/>
    </row>
    <row r="56" spans="2:8" s="68" customFormat="1" ht="12" customHeight="1" x14ac:dyDescent="0.25">
      <c r="B56" s="85"/>
      <c r="C56" s="76">
        <v>2038</v>
      </c>
      <c r="D56" s="92">
        <f t="shared" si="5"/>
        <v>8845000</v>
      </c>
      <c r="E56" s="91">
        <f t="shared" si="6"/>
        <v>3056359.5</v>
      </c>
      <c r="F56" s="78">
        <f t="shared" si="9"/>
        <v>11901359.5</v>
      </c>
      <c r="G56" s="66"/>
      <c r="H56" s="65"/>
    </row>
    <row r="57" spans="2:8" s="68" customFormat="1" ht="12" customHeight="1" x14ac:dyDescent="0.25">
      <c r="B57" s="85"/>
      <c r="C57" s="76">
        <v>2039</v>
      </c>
      <c r="D57" s="92">
        <f t="shared" si="5"/>
        <v>8695000</v>
      </c>
      <c r="E57" s="91">
        <f t="shared" si="6"/>
        <v>2702722.75</v>
      </c>
      <c r="F57" s="78">
        <f t="shared" ref="F57" si="10">+D57+E57</f>
        <v>11397722.75</v>
      </c>
      <c r="G57" s="66"/>
      <c r="H57" s="65"/>
    </row>
    <row r="58" spans="2:8" s="68" customFormat="1" ht="12" customHeight="1" x14ac:dyDescent="0.25">
      <c r="B58" s="85"/>
      <c r="C58" s="76">
        <v>2040</v>
      </c>
      <c r="D58" s="92">
        <f t="shared" si="5"/>
        <v>8665000</v>
      </c>
      <c r="E58" s="91">
        <f t="shared" si="6"/>
        <v>2360922</v>
      </c>
      <c r="F58" s="78">
        <f>+D58+E58</f>
        <v>11025922</v>
      </c>
      <c r="G58" s="66"/>
      <c r="H58" s="65"/>
    </row>
    <row r="59" spans="2:8" s="68" customFormat="1" ht="12" customHeight="1" x14ac:dyDescent="0.25">
      <c r="B59" s="85"/>
      <c r="C59" s="76">
        <v>2041</v>
      </c>
      <c r="D59" s="92">
        <f t="shared" si="5"/>
        <v>8265000</v>
      </c>
      <c r="E59" s="91">
        <f t="shared" si="6"/>
        <v>2034998.5</v>
      </c>
      <c r="F59" s="78">
        <f>+D59+E59</f>
        <v>10299998.5</v>
      </c>
      <c r="G59" s="66"/>
      <c r="H59" s="65"/>
    </row>
    <row r="60" spans="2:8" s="68" customFormat="1" ht="12" customHeight="1" x14ac:dyDescent="0.25">
      <c r="B60" s="85"/>
      <c r="C60" s="76">
        <v>2042</v>
      </c>
      <c r="D60" s="92">
        <f t="shared" si="5"/>
        <v>6715000</v>
      </c>
      <c r="E60" s="91">
        <f t="shared" si="6"/>
        <v>1725421</v>
      </c>
      <c r="F60" s="78">
        <f>+D60+E60</f>
        <v>8440421</v>
      </c>
      <c r="G60" s="66"/>
      <c r="H60" s="65"/>
    </row>
    <row r="61" spans="2:8" s="68" customFormat="1" ht="12" customHeight="1" x14ac:dyDescent="0.25">
      <c r="B61" s="85"/>
      <c r="C61" s="76">
        <v>2043</v>
      </c>
      <c r="D61" s="92">
        <f t="shared" si="5"/>
        <v>4975000</v>
      </c>
      <c r="E61" s="91">
        <f t="shared" si="6"/>
        <v>1463581.25</v>
      </c>
      <c r="F61" s="78">
        <f>+D61+E61</f>
        <v>6438581.25</v>
      </c>
      <c r="G61" s="66"/>
      <c r="H61" s="65"/>
    </row>
    <row r="62" spans="2:8" s="68" customFormat="1" ht="12" customHeight="1" x14ac:dyDescent="0.25">
      <c r="B62" s="85"/>
      <c r="C62" s="76">
        <v>2044</v>
      </c>
      <c r="D62" s="92">
        <f t="shared" si="5"/>
        <v>2070000</v>
      </c>
      <c r="E62" s="91">
        <f t="shared" si="6"/>
        <v>1298725</v>
      </c>
      <c r="F62" s="78">
        <f t="shared" ref="F62:F72" si="11">+D62+E62</f>
        <v>3368725</v>
      </c>
      <c r="G62" s="66"/>
      <c r="H62" s="65"/>
    </row>
    <row r="63" spans="2:8" s="68" customFormat="1" ht="12" customHeight="1" x14ac:dyDescent="0.25">
      <c r="B63" s="85"/>
      <c r="C63" s="76">
        <v>2045</v>
      </c>
      <c r="D63" s="92">
        <f t="shared" si="5"/>
        <v>2175000</v>
      </c>
      <c r="E63" s="91">
        <f t="shared" si="6"/>
        <v>1192600</v>
      </c>
      <c r="F63" s="78">
        <f t="shared" si="11"/>
        <v>3367600</v>
      </c>
      <c r="G63" s="66"/>
      <c r="H63" s="65"/>
    </row>
    <row r="64" spans="2:8" s="68" customFormat="1" ht="12" customHeight="1" x14ac:dyDescent="0.25">
      <c r="B64" s="85"/>
      <c r="C64" s="76">
        <v>2046</v>
      </c>
      <c r="D64" s="92">
        <f t="shared" si="5"/>
        <v>2285000</v>
      </c>
      <c r="E64" s="91">
        <f t="shared" si="6"/>
        <v>1081100</v>
      </c>
      <c r="F64" s="78">
        <f t="shared" si="11"/>
        <v>3366100</v>
      </c>
      <c r="G64" s="66"/>
      <c r="H64" s="65"/>
    </row>
    <row r="65" spans="2:8" s="68" customFormat="1" ht="12" customHeight="1" x14ac:dyDescent="0.25">
      <c r="B65" s="85"/>
      <c r="C65" s="76">
        <v>2047</v>
      </c>
      <c r="D65" s="92">
        <f t="shared" si="5"/>
        <v>2405000</v>
      </c>
      <c r="E65" s="91">
        <f t="shared" si="6"/>
        <v>963850</v>
      </c>
      <c r="F65" s="78">
        <f t="shared" si="11"/>
        <v>3368850</v>
      </c>
      <c r="G65" s="66"/>
      <c r="H65" s="65"/>
    </row>
    <row r="66" spans="2:8" s="68" customFormat="1" ht="12" customHeight="1" x14ac:dyDescent="0.25">
      <c r="B66" s="85"/>
      <c r="C66" s="76">
        <v>2048</v>
      </c>
      <c r="D66" s="92">
        <f t="shared" si="5"/>
        <v>2525000</v>
      </c>
      <c r="E66" s="91">
        <f t="shared" si="6"/>
        <v>840600</v>
      </c>
      <c r="F66" s="78">
        <f t="shared" si="11"/>
        <v>3365600</v>
      </c>
      <c r="G66" s="66"/>
      <c r="H66" s="65"/>
    </row>
    <row r="67" spans="2:8" s="68" customFormat="1" ht="12" customHeight="1" x14ac:dyDescent="0.25">
      <c r="B67" s="85"/>
      <c r="C67" s="76">
        <v>2049</v>
      </c>
      <c r="D67" s="92">
        <f t="shared" si="5"/>
        <v>2655000</v>
      </c>
      <c r="E67" s="91">
        <f t="shared" si="6"/>
        <v>711100</v>
      </c>
      <c r="F67" s="78">
        <f t="shared" si="11"/>
        <v>3366100</v>
      </c>
      <c r="G67" s="66"/>
      <c r="H67" s="65"/>
    </row>
    <row r="68" spans="2:8" s="68" customFormat="1" ht="12" customHeight="1" x14ac:dyDescent="0.25">
      <c r="B68" s="85"/>
      <c r="C68" s="76">
        <v>2050</v>
      </c>
      <c r="D68" s="92">
        <f t="shared" si="5"/>
        <v>2780000</v>
      </c>
      <c r="E68" s="91">
        <f t="shared" si="6"/>
        <v>585650</v>
      </c>
      <c r="F68" s="78">
        <f t="shared" si="11"/>
        <v>3365650</v>
      </c>
      <c r="G68" s="66"/>
      <c r="H68" s="65"/>
    </row>
    <row r="69" spans="2:8" s="68" customFormat="1" ht="12" customHeight="1" x14ac:dyDescent="0.25">
      <c r="B69" s="85"/>
      <c r="C69" s="76">
        <v>2051</v>
      </c>
      <c r="D69" s="92">
        <f t="shared" si="5"/>
        <v>2905000</v>
      </c>
      <c r="E69" s="91">
        <f t="shared" si="6"/>
        <v>464843.75</v>
      </c>
      <c r="F69" s="78">
        <f t="shared" si="11"/>
        <v>3369843.75</v>
      </c>
      <c r="G69" s="66"/>
      <c r="H69" s="65"/>
    </row>
    <row r="70" spans="2:8" s="68" customFormat="1" ht="12" customHeight="1" x14ac:dyDescent="0.25">
      <c r="B70" s="85"/>
      <c r="C70" s="76">
        <v>2052</v>
      </c>
      <c r="D70" s="92">
        <f t="shared" si="5"/>
        <v>3030000</v>
      </c>
      <c r="E70" s="91">
        <f t="shared" si="6"/>
        <v>338725</v>
      </c>
      <c r="F70" s="78">
        <f t="shared" si="11"/>
        <v>3368725</v>
      </c>
      <c r="G70" s="66"/>
      <c r="H70" s="65"/>
    </row>
    <row r="71" spans="2:8" s="68" customFormat="1" ht="12" customHeight="1" x14ac:dyDescent="0.25">
      <c r="B71" s="85"/>
      <c r="C71" s="76">
        <v>2053</v>
      </c>
      <c r="D71" s="92">
        <f t="shared" si="5"/>
        <v>3160000</v>
      </c>
      <c r="E71" s="91">
        <f t="shared" si="6"/>
        <v>207187.5</v>
      </c>
      <c r="F71" s="78">
        <f t="shared" si="11"/>
        <v>3367187.5</v>
      </c>
      <c r="G71" s="66"/>
      <c r="H71" s="65"/>
    </row>
    <row r="72" spans="2:8" s="68" customFormat="1" ht="12" customHeight="1" x14ac:dyDescent="0.25">
      <c r="B72" s="85"/>
      <c r="C72" s="76">
        <v>2054</v>
      </c>
      <c r="D72" s="92">
        <f t="shared" si="5"/>
        <v>3295000</v>
      </c>
      <c r="E72" s="91">
        <f t="shared" si="6"/>
        <v>70018.75</v>
      </c>
      <c r="F72" s="78">
        <f t="shared" si="11"/>
        <v>3365018.75</v>
      </c>
      <c r="G72" s="66"/>
      <c r="H72" s="65"/>
    </row>
    <row r="73" spans="2:8" s="68" customFormat="1" ht="12" customHeight="1" x14ac:dyDescent="0.25">
      <c r="B73" s="85"/>
      <c r="C73" s="86" t="s">
        <v>4</v>
      </c>
      <c r="D73" s="87">
        <f>SUM(D43:D72)</f>
        <v>189590560</v>
      </c>
      <c r="E73" s="95">
        <f>SUM(E43:E72)</f>
        <v>94020848.239999995</v>
      </c>
      <c r="F73" s="95">
        <f>SUM(F43:F72)</f>
        <v>283611408.24000001</v>
      </c>
      <c r="G73" s="74"/>
      <c r="H73" s="91"/>
    </row>
    <row r="74" spans="2:8" x14ac:dyDescent="0.2">
      <c r="B74" s="10"/>
      <c r="C74" s="11"/>
      <c r="D74" s="11"/>
      <c r="E74" s="11"/>
      <c r="F74" s="11"/>
      <c r="H74" s="13"/>
    </row>
    <row r="75" spans="2:8" x14ac:dyDescent="0.2">
      <c r="F75" s="13"/>
    </row>
    <row r="76" spans="2:8" x14ac:dyDescent="0.2">
      <c r="C76" s="13"/>
      <c r="D76" s="13"/>
      <c r="E76" s="13"/>
      <c r="F76" s="13"/>
    </row>
    <row r="77" spans="2:8" x14ac:dyDescent="0.2">
      <c r="C77" s="14"/>
      <c r="D77" s="14"/>
      <c r="E77" s="14"/>
      <c r="F77" s="14"/>
    </row>
  </sheetData>
  <mergeCells count="6">
    <mergeCell ref="D40:F40"/>
    <mergeCell ref="A1:G1"/>
    <mergeCell ref="A2:G2"/>
    <mergeCell ref="A3:G3"/>
    <mergeCell ref="B5:D5"/>
    <mergeCell ref="E5:G5"/>
  </mergeCells>
  <printOptions horizontalCentered="1"/>
  <pageMargins left="0.5" right="0.5" top="0.75" bottom="0.5" header="0.5" footer="0.5"/>
  <pageSetup scale="81" firstPageNumber="0" orientation="portrait" useFirstPageNumber="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A1:L79"/>
  <sheetViews>
    <sheetView tabSelected="1" workbookViewId="0">
      <selection activeCell="K27" sqref="K26:K27"/>
    </sheetView>
  </sheetViews>
  <sheetFormatPr defaultRowHeight="12.75" x14ac:dyDescent="0.2"/>
  <cols>
    <col min="1" max="1" width="10" style="1" customWidth="1"/>
    <col min="2" max="7" width="15" style="1" customWidth="1"/>
    <col min="8" max="8" width="13" style="1" customWidth="1"/>
    <col min="9" max="9" width="12.7109375" style="1" customWidth="1"/>
    <col min="10" max="10" width="13.5703125" style="1" bestFit="1" customWidth="1"/>
    <col min="11" max="11" width="16.42578125" style="1" customWidth="1"/>
    <col min="12" max="256" width="9.140625" style="1"/>
    <col min="257" max="257" width="9.5703125" style="1" customWidth="1"/>
    <col min="258" max="263" width="13.5703125" style="1" customWidth="1"/>
    <col min="264" max="264" width="9.140625" style="1"/>
    <col min="265" max="266" width="12.7109375" style="1" customWidth="1"/>
    <col min="267" max="512" width="9.140625" style="1"/>
    <col min="513" max="513" width="9.5703125" style="1" customWidth="1"/>
    <col min="514" max="519" width="13.5703125" style="1" customWidth="1"/>
    <col min="520" max="520" width="9.140625" style="1"/>
    <col min="521" max="522" width="12.7109375" style="1" customWidth="1"/>
    <col min="523" max="768" width="9.140625" style="1"/>
    <col min="769" max="769" width="9.5703125" style="1" customWidth="1"/>
    <col min="770" max="775" width="13.5703125" style="1" customWidth="1"/>
    <col min="776" max="776" width="9.140625" style="1"/>
    <col min="777" max="778" width="12.7109375" style="1" customWidth="1"/>
    <col min="779" max="1024" width="9.140625" style="1"/>
    <col min="1025" max="1025" width="9.5703125" style="1" customWidth="1"/>
    <col min="1026" max="1031" width="13.5703125" style="1" customWidth="1"/>
    <col min="1032" max="1032" width="9.140625" style="1"/>
    <col min="1033" max="1034" width="12.7109375" style="1" customWidth="1"/>
    <col min="1035" max="1280" width="9.140625" style="1"/>
    <col min="1281" max="1281" width="9.5703125" style="1" customWidth="1"/>
    <col min="1282" max="1287" width="13.5703125" style="1" customWidth="1"/>
    <col min="1288" max="1288" width="9.140625" style="1"/>
    <col min="1289" max="1290" width="12.7109375" style="1" customWidth="1"/>
    <col min="1291" max="1536" width="9.140625" style="1"/>
    <col min="1537" max="1537" width="9.5703125" style="1" customWidth="1"/>
    <col min="1538" max="1543" width="13.5703125" style="1" customWidth="1"/>
    <col min="1544" max="1544" width="9.140625" style="1"/>
    <col min="1545" max="1546" width="12.7109375" style="1" customWidth="1"/>
    <col min="1547" max="1792" width="9.140625" style="1"/>
    <col min="1793" max="1793" width="9.5703125" style="1" customWidth="1"/>
    <col min="1794" max="1799" width="13.5703125" style="1" customWidth="1"/>
    <col min="1800" max="1800" width="9.140625" style="1"/>
    <col min="1801" max="1802" width="12.7109375" style="1" customWidth="1"/>
    <col min="1803" max="2048" width="9.140625" style="1"/>
    <col min="2049" max="2049" width="9.5703125" style="1" customWidth="1"/>
    <col min="2050" max="2055" width="13.5703125" style="1" customWidth="1"/>
    <col min="2056" max="2056" width="9.140625" style="1"/>
    <col min="2057" max="2058" width="12.7109375" style="1" customWidth="1"/>
    <col min="2059" max="2304" width="9.140625" style="1"/>
    <col min="2305" max="2305" width="9.5703125" style="1" customWidth="1"/>
    <col min="2306" max="2311" width="13.5703125" style="1" customWidth="1"/>
    <col min="2312" max="2312" width="9.140625" style="1"/>
    <col min="2313" max="2314" width="12.7109375" style="1" customWidth="1"/>
    <col min="2315" max="2560" width="9.140625" style="1"/>
    <col min="2561" max="2561" width="9.5703125" style="1" customWidth="1"/>
    <col min="2562" max="2567" width="13.5703125" style="1" customWidth="1"/>
    <col min="2568" max="2568" width="9.140625" style="1"/>
    <col min="2569" max="2570" width="12.7109375" style="1" customWidth="1"/>
    <col min="2571" max="2816" width="9.140625" style="1"/>
    <col min="2817" max="2817" width="9.5703125" style="1" customWidth="1"/>
    <col min="2818" max="2823" width="13.5703125" style="1" customWidth="1"/>
    <col min="2824" max="2824" width="9.140625" style="1"/>
    <col min="2825" max="2826" width="12.7109375" style="1" customWidth="1"/>
    <col min="2827" max="3072" width="9.140625" style="1"/>
    <col min="3073" max="3073" width="9.5703125" style="1" customWidth="1"/>
    <col min="3074" max="3079" width="13.5703125" style="1" customWidth="1"/>
    <col min="3080" max="3080" width="9.140625" style="1"/>
    <col min="3081" max="3082" width="12.7109375" style="1" customWidth="1"/>
    <col min="3083" max="3328" width="9.140625" style="1"/>
    <col min="3329" max="3329" width="9.5703125" style="1" customWidth="1"/>
    <col min="3330" max="3335" width="13.5703125" style="1" customWidth="1"/>
    <col min="3336" max="3336" width="9.140625" style="1"/>
    <col min="3337" max="3338" width="12.7109375" style="1" customWidth="1"/>
    <col min="3339" max="3584" width="9.140625" style="1"/>
    <col min="3585" max="3585" width="9.5703125" style="1" customWidth="1"/>
    <col min="3586" max="3591" width="13.5703125" style="1" customWidth="1"/>
    <col min="3592" max="3592" width="9.140625" style="1"/>
    <col min="3593" max="3594" width="12.7109375" style="1" customWidth="1"/>
    <col min="3595" max="3840" width="9.140625" style="1"/>
    <col min="3841" max="3841" width="9.5703125" style="1" customWidth="1"/>
    <col min="3842" max="3847" width="13.5703125" style="1" customWidth="1"/>
    <col min="3848" max="3848" width="9.140625" style="1"/>
    <col min="3849" max="3850" width="12.7109375" style="1" customWidth="1"/>
    <col min="3851" max="4096" width="9.140625" style="1"/>
    <col min="4097" max="4097" width="9.5703125" style="1" customWidth="1"/>
    <col min="4098" max="4103" width="13.5703125" style="1" customWidth="1"/>
    <col min="4104" max="4104" width="9.140625" style="1"/>
    <col min="4105" max="4106" width="12.7109375" style="1" customWidth="1"/>
    <col min="4107" max="4352" width="9.140625" style="1"/>
    <col min="4353" max="4353" width="9.5703125" style="1" customWidth="1"/>
    <col min="4354" max="4359" width="13.5703125" style="1" customWidth="1"/>
    <col min="4360" max="4360" width="9.140625" style="1"/>
    <col min="4361" max="4362" width="12.7109375" style="1" customWidth="1"/>
    <col min="4363" max="4608" width="9.140625" style="1"/>
    <col min="4609" max="4609" width="9.5703125" style="1" customWidth="1"/>
    <col min="4610" max="4615" width="13.5703125" style="1" customWidth="1"/>
    <col min="4616" max="4616" width="9.140625" style="1"/>
    <col min="4617" max="4618" width="12.7109375" style="1" customWidth="1"/>
    <col min="4619" max="4864" width="9.140625" style="1"/>
    <col min="4865" max="4865" width="9.5703125" style="1" customWidth="1"/>
    <col min="4866" max="4871" width="13.5703125" style="1" customWidth="1"/>
    <col min="4872" max="4872" width="9.140625" style="1"/>
    <col min="4873" max="4874" width="12.7109375" style="1" customWidth="1"/>
    <col min="4875" max="5120" width="9.140625" style="1"/>
    <col min="5121" max="5121" width="9.5703125" style="1" customWidth="1"/>
    <col min="5122" max="5127" width="13.5703125" style="1" customWidth="1"/>
    <col min="5128" max="5128" width="9.140625" style="1"/>
    <col min="5129" max="5130" width="12.7109375" style="1" customWidth="1"/>
    <col min="5131" max="5376" width="9.140625" style="1"/>
    <col min="5377" max="5377" width="9.5703125" style="1" customWidth="1"/>
    <col min="5378" max="5383" width="13.5703125" style="1" customWidth="1"/>
    <col min="5384" max="5384" width="9.140625" style="1"/>
    <col min="5385" max="5386" width="12.7109375" style="1" customWidth="1"/>
    <col min="5387" max="5632" width="9.140625" style="1"/>
    <col min="5633" max="5633" width="9.5703125" style="1" customWidth="1"/>
    <col min="5634" max="5639" width="13.5703125" style="1" customWidth="1"/>
    <col min="5640" max="5640" width="9.140625" style="1"/>
    <col min="5641" max="5642" width="12.7109375" style="1" customWidth="1"/>
    <col min="5643" max="5888" width="9.140625" style="1"/>
    <col min="5889" max="5889" width="9.5703125" style="1" customWidth="1"/>
    <col min="5890" max="5895" width="13.5703125" style="1" customWidth="1"/>
    <col min="5896" max="5896" width="9.140625" style="1"/>
    <col min="5897" max="5898" width="12.7109375" style="1" customWidth="1"/>
    <col min="5899" max="6144" width="9.140625" style="1"/>
    <col min="6145" max="6145" width="9.5703125" style="1" customWidth="1"/>
    <col min="6146" max="6151" width="13.5703125" style="1" customWidth="1"/>
    <col min="6152" max="6152" width="9.140625" style="1"/>
    <col min="6153" max="6154" width="12.7109375" style="1" customWidth="1"/>
    <col min="6155" max="6400" width="9.140625" style="1"/>
    <col min="6401" max="6401" width="9.5703125" style="1" customWidth="1"/>
    <col min="6402" max="6407" width="13.5703125" style="1" customWidth="1"/>
    <col min="6408" max="6408" width="9.140625" style="1"/>
    <col min="6409" max="6410" width="12.7109375" style="1" customWidth="1"/>
    <col min="6411" max="6656" width="9.140625" style="1"/>
    <col min="6657" max="6657" width="9.5703125" style="1" customWidth="1"/>
    <col min="6658" max="6663" width="13.5703125" style="1" customWidth="1"/>
    <col min="6664" max="6664" width="9.140625" style="1"/>
    <col min="6665" max="6666" width="12.7109375" style="1" customWidth="1"/>
    <col min="6667" max="6912" width="9.140625" style="1"/>
    <col min="6913" max="6913" width="9.5703125" style="1" customWidth="1"/>
    <col min="6914" max="6919" width="13.5703125" style="1" customWidth="1"/>
    <col min="6920" max="6920" width="9.140625" style="1"/>
    <col min="6921" max="6922" width="12.7109375" style="1" customWidth="1"/>
    <col min="6923" max="7168" width="9.140625" style="1"/>
    <col min="7169" max="7169" width="9.5703125" style="1" customWidth="1"/>
    <col min="7170" max="7175" width="13.5703125" style="1" customWidth="1"/>
    <col min="7176" max="7176" width="9.140625" style="1"/>
    <col min="7177" max="7178" width="12.7109375" style="1" customWidth="1"/>
    <col min="7179" max="7424" width="9.140625" style="1"/>
    <col min="7425" max="7425" width="9.5703125" style="1" customWidth="1"/>
    <col min="7426" max="7431" width="13.5703125" style="1" customWidth="1"/>
    <col min="7432" max="7432" width="9.140625" style="1"/>
    <col min="7433" max="7434" width="12.7109375" style="1" customWidth="1"/>
    <col min="7435" max="7680" width="9.140625" style="1"/>
    <col min="7681" max="7681" width="9.5703125" style="1" customWidth="1"/>
    <col min="7682" max="7687" width="13.5703125" style="1" customWidth="1"/>
    <col min="7688" max="7688" width="9.140625" style="1"/>
    <col min="7689" max="7690" width="12.7109375" style="1" customWidth="1"/>
    <col min="7691" max="7936" width="9.140625" style="1"/>
    <col min="7937" max="7937" width="9.5703125" style="1" customWidth="1"/>
    <col min="7938" max="7943" width="13.5703125" style="1" customWidth="1"/>
    <col min="7944" max="7944" width="9.140625" style="1"/>
    <col min="7945" max="7946" width="12.7109375" style="1" customWidth="1"/>
    <col min="7947" max="8192" width="9.140625" style="1"/>
    <col min="8193" max="8193" width="9.5703125" style="1" customWidth="1"/>
    <col min="8194" max="8199" width="13.5703125" style="1" customWidth="1"/>
    <col min="8200" max="8200" width="9.140625" style="1"/>
    <col min="8201" max="8202" width="12.7109375" style="1" customWidth="1"/>
    <col min="8203" max="8448" width="9.140625" style="1"/>
    <col min="8449" max="8449" width="9.5703125" style="1" customWidth="1"/>
    <col min="8450" max="8455" width="13.5703125" style="1" customWidth="1"/>
    <col min="8456" max="8456" width="9.140625" style="1"/>
    <col min="8457" max="8458" width="12.7109375" style="1" customWidth="1"/>
    <col min="8459" max="8704" width="9.140625" style="1"/>
    <col min="8705" max="8705" width="9.5703125" style="1" customWidth="1"/>
    <col min="8706" max="8711" width="13.5703125" style="1" customWidth="1"/>
    <col min="8712" max="8712" width="9.140625" style="1"/>
    <col min="8713" max="8714" width="12.7109375" style="1" customWidth="1"/>
    <col min="8715" max="8960" width="9.140625" style="1"/>
    <col min="8961" max="8961" width="9.5703125" style="1" customWidth="1"/>
    <col min="8962" max="8967" width="13.5703125" style="1" customWidth="1"/>
    <col min="8968" max="8968" width="9.140625" style="1"/>
    <col min="8969" max="8970" width="12.7109375" style="1" customWidth="1"/>
    <col min="8971" max="9216" width="9.140625" style="1"/>
    <col min="9217" max="9217" width="9.5703125" style="1" customWidth="1"/>
    <col min="9218" max="9223" width="13.5703125" style="1" customWidth="1"/>
    <col min="9224" max="9224" width="9.140625" style="1"/>
    <col min="9225" max="9226" width="12.7109375" style="1" customWidth="1"/>
    <col min="9227" max="9472" width="9.140625" style="1"/>
    <col min="9473" max="9473" width="9.5703125" style="1" customWidth="1"/>
    <col min="9474" max="9479" width="13.5703125" style="1" customWidth="1"/>
    <col min="9480" max="9480" width="9.140625" style="1"/>
    <col min="9481" max="9482" width="12.7109375" style="1" customWidth="1"/>
    <col min="9483" max="9728" width="9.140625" style="1"/>
    <col min="9729" max="9729" width="9.5703125" style="1" customWidth="1"/>
    <col min="9730" max="9735" width="13.5703125" style="1" customWidth="1"/>
    <col min="9736" max="9736" width="9.140625" style="1"/>
    <col min="9737" max="9738" width="12.7109375" style="1" customWidth="1"/>
    <col min="9739" max="9984" width="9.140625" style="1"/>
    <col min="9985" max="9985" width="9.5703125" style="1" customWidth="1"/>
    <col min="9986" max="9991" width="13.5703125" style="1" customWidth="1"/>
    <col min="9992" max="9992" width="9.140625" style="1"/>
    <col min="9993" max="9994" width="12.7109375" style="1" customWidth="1"/>
    <col min="9995" max="10240" width="9.140625" style="1"/>
    <col min="10241" max="10241" width="9.5703125" style="1" customWidth="1"/>
    <col min="10242" max="10247" width="13.5703125" style="1" customWidth="1"/>
    <col min="10248" max="10248" width="9.140625" style="1"/>
    <col min="10249" max="10250" width="12.7109375" style="1" customWidth="1"/>
    <col min="10251" max="10496" width="9.140625" style="1"/>
    <col min="10497" max="10497" width="9.5703125" style="1" customWidth="1"/>
    <col min="10498" max="10503" width="13.5703125" style="1" customWidth="1"/>
    <col min="10504" max="10504" width="9.140625" style="1"/>
    <col min="10505" max="10506" width="12.7109375" style="1" customWidth="1"/>
    <col min="10507" max="10752" width="9.140625" style="1"/>
    <col min="10753" max="10753" width="9.5703125" style="1" customWidth="1"/>
    <col min="10754" max="10759" width="13.5703125" style="1" customWidth="1"/>
    <col min="10760" max="10760" width="9.140625" style="1"/>
    <col min="10761" max="10762" width="12.7109375" style="1" customWidth="1"/>
    <col min="10763" max="11008" width="9.140625" style="1"/>
    <col min="11009" max="11009" width="9.5703125" style="1" customWidth="1"/>
    <col min="11010" max="11015" width="13.5703125" style="1" customWidth="1"/>
    <col min="11016" max="11016" width="9.140625" style="1"/>
    <col min="11017" max="11018" width="12.7109375" style="1" customWidth="1"/>
    <col min="11019" max="11264" width="9.140625" style="1"/>
    <col min="11265" max="11265" width="9.5703125" style="1" customWidth="1"/>
    <col min="11266" max="11271" width="13.5703125" style="1" customWidth="1"/>
    <col min="11272" max="11272" width="9.140625" style="1"/>
    <col min="11273" max="11274" width="12.7109375" style="1" customWidth="1"/>
    <col min="11275" max="11520" width="9.140625" style="1"/>
    <col min="11521" max="11521" width="9.5703125" style="1" customWidth="1"/>
    <col min="11522" max="11527" width="13.5703125" style="1" customWidth="1"/>
    <col min="11528" max="11528" width="9.140625" style="1"/>
    <col min="11529" max="11530" width="12.7109375" style="1" customWidth="1"/>
    <col min="11531" max="11776" width="9.140625" style="1"/>
    <col min="11777" max="11777" width="9.5703125" style="1" customWidth="1"/>
    <col min="11778" max="11783" width="13.5703125" style="1" customWidth="1"/>
    <col min="11784" max="11784" width="9.140625" style="1"/>
    <col min="11785" max="11786" width="12.7109375" style="1" customWidth="1"/>
    <col min="11787" max="12032" width="9.140625" style="1"/>
    <col min="12033" max="12033" width="9.5703125" style="1" customWidth="1"/>
    <col min="12034" max="12039" width="13.5703125" style="1" customWidth="1"/>
    <col min="12040" max="12040" width="9.140625" style="1"/>
    <col min="12041" max="12042" width="12.7109375" style="1" customWidth="1"/>
    <col min="12043" max="12288" width="9.140625" style="1"/>
    <col min="12289" max="12289" width="9.5703125" style="1" customWidth="1"/>
    <col min="12290" max="12295" width="13.5703125" style="1" customWidth="1"/>
    <col min="12296" max="12296" width="9.140625" style="1"/>
    <col min="12297" max="12298" width="12.7109375" style="1" customWidth="1"/>
    <col min="12299" max="12544" width="9.140625" style="1"/>
    <col min="12545" max="12545" width="9.5703125" style="1" customWidth="1"/>
    <col min="12546" max="12551" width="13.5703125" style="1" customWidth="1"/>
    <col min="12552" max="12552" width="9.140625" style="1"/>
    <col min="12553" max="12554" width="12.7109375" style="1" customWidth="1"/>
    <col min="12555" max="12800" width="9.140625" style="1"/>
    <col min="12801" max="12801" width="9.5703125" style="1" customWidth="1"/>
    <col min="12802" max="12807" width="13.5703125" style="1" customWidth="1"/>
    <col min="12808" max="12808" width="9.140625" style="1"/>
    <col min="12809" max="12810" width="12.7109375" style="1" customWidth="1"/>
    <col min="12811" max="13056" width="9.140625" style="1"/>
    <col min="13057" max="13057" width="9.5703125" style="1" customWidth="1"/>
    <col min="13058" max="13063" width="13.5703125" style="1" customWidth="1"/>
    <col min="13064" max="13064" width="9.140625" style="1"/>
    <col min="13065" max="13066" width="12.7109375" style="1" customWidth="1"/>
    <col min="13067" max="13312" width="9.140625" style="1"/>
    <col min="13313" max="13313" width="9.5703125" style="1" customWidth="1"/>
    <col min="13314" max="13319" width="13.5703125" style="1" customWidth="1"/>
    <col min="13320" max="13320" width="9.140625" style="1"/>
    <col min="13321" max="13322" width="12.7109375" style="1" customWidth="1"/>
    <col min="13323" max="13568" width="9.140625" style="1"/>
    <col min="13569" max="13569" width="9.5703125" style="1" customWidth="1"/>
    <col min="13570" max="13575" width="13.5703125" style="1" customWidth="1"/>
    <col min="13576" max="13576" width="9.140625" style="1"/>
    <col min="13577" max="13578" width="12.7109375" style="1" customWidth="1"/>
    <col min="13579" max="13824" width="9.140625" style="1"/>
    <col min="13825" max="13825" width="9.5703125" style="1" customWidth="1"/>
    <col min="13826" max="13831" width="13.5703125" style="1" customWidth="1"/>
    <col min="13832" max="13832" width="9.140625" style="1"/>
    <col min="13833" max="13834" width="12.7109375" style="1" customWidth="1"/>
    <col min="13835" max="14080" width="9.140625" style="1"/>
    <col min="14081" max="14081" width="9.5703125" style="1" customWidth="1"/>
    <col min="14082" max="14087" width="13.5703125" style="1" customWidth="1"/>
    <col min="14088" max="14088" width="9.140625" style="1"/>
    <col min="14089" max="14090" width="12.7109375" style="1" customWidth="1"/>
    <col min="14091" max="14336" width="9.140625" style="1"/>
    <col min="14337" max="14337" width="9.5703125" style="1" customWidth="1"/>
    <col min="14338" max="14343" width="13.5703125" style="1" customWidth="1"/>
    <col min="14344" max="14344" width="9.140625" style="1"/>
    <col min="14345" max="14346" width="12.7109375" style="1" customWidth="1"/>
    <col min="14347" max="14592" width="9.140625" style="1"/>
    <col min="14593" max="14593" width="9.5703125" style="1" customWidth="1"/>
    <col min="14594" max="14599" width="13.5703125" style="1" customWidth="1"/>
    <col min="14600" max="14600" width="9.140625" style="1"/>
    <col min="14601" max="14602" width="12.7109375" style="1" customWidth="1"/>
    <col min="14603" max="14848" width="9.140625" style="1"/>
    <col min="14849" max="14849" width="9.5703125" style="1" customWidth="1"/>
    <col min="14850" max="14855" width="13.5703125" style="1" customWidth="1"/>
    <col min="14856" max="14856" width="9.140625" style="1"/>
    <col min="14857" max="14858" width="12.7109375" style="1" customWidth="1"/>
    <col min="14859" max="15104" width="9.140625" style="1"/>
    <col min="15105" max="15105" width="9.5703125" style="1" customWidth="1"/>
    <col min="15106" max="15111" width="13.5703125" style="1" customWidth="1"/>
    <col min="15112" max="15112" width="9.140625" style="1"/>
    <col min="15113" max="15114" width="12.7109375" style="1" customWidth="1"/>
    <col min="15115" max="15360" width="9.140625" style="1"/>
    <col min="15361" max="15361" width="9.5703125" style="1" customWidth="1"/>
    <col min="15362" max="15367" width="13.5703125" style="1" customWidth="1"/>
    <col min="15368" max="15368" width="9.140625" style="1"/>
    <col min="15369" max="15370" width="12.7109375" style="1" customWidth="1"/>
    <col min="15371" max="15616" width="9.140625" style="1"/>
    <col min="15617" max="15617" width="9.5703125" style="1" customWidth="1"/>
    <col min="15618" max="15623" width="13.5703125" style="1" customWidth="1"/>
    <col min="15624" max="15624" width="9.140625" style="1"/>
    <col min="15625" max="15626" width="12.7109375" style="1" customWidth="1"/>
    <col min="15627" max="15872" width="9.140625" style="1"/>
    <col min="15873" max="15873" width="9.5703125" style="1" customWidth="1"/>
    <col min="15874" max="15879" width="13.5703125" style="1" customWidth="1"/>
    <col min="15880" max="15880" width="9.140625" style="1"/>
    <col min="15881" max="15882" width="12.7109375" style="1" customWidth="1"/>
    <col min="15883" max="16128" width="9.140625" style="1"/>
    <col min="16129" max="16129" width="9.5703125" style="1" customWidth="1"/>
    <col min="16130" max="16135" width="13.5703125" style="1" customWidth="1"/>
    <col min="16136" max="16136" width="9.140625" style="1"/>
    <col min="16137" max="16138" width="12.7109375" style="1" customWidth="1"/>
    <col min="16139" max="16384" width="9.140625" style="1"/>
  </cols>
  <sheetData>
    <row r="1" spans="1:12" ht="18" x14ac:dyDescent="0.25">
      <c r="A1" s="100" t="s">
        <v>0</v>
      </c>
      <c r="B1" s="100"/>
      <c r="C1" s="100"/>
      <c r="D1" s="100"/>
      <c r="E1" s="100"/>
      <c r="F1" s="100"/>
      <c r="G1" s="100"/>
    </row>
    <row r="2" spans="1:12" ht="18" x14ac:dyDescent="0.25">
      <c r="A2" s="100" t="s">
        <v>154</v>
      </c>
      <c r="B2" s="100"/>
      <c r="C2" s="100"/>
      <c r="D2" s="100"/>
      <c r="E2" s="100"/>
      <c r="F2" s="100"/>
      <c r="G2" s="100"/>
    </row>
    <row r="3" spans="1:12" ht="15.75" x14ac:dyDescent="0.25">
      <c r="A3" s="101" t="s">
        <v>28</v>
      </c>
      <c r="B3" s="101"/>
      <c r="C3" s="101"/>
      <c r="D3" s="101"/>
      <c r="E3" s="101"/>
      <c r="F3" s="101"/>
      <c r="G3" s="101"/>
    </row>
    <row r="4" spans="1:12" ht="15" customHeight="1" x14ac:dyDescent="0.25">
      <c r="A4" s="8"/>
      <c r="B4" s="8"/>
      <c r="C4" s="8"/>
      <c r="D4" s="8"/>
      <c r="E4" s="8"/>
      <c r="F4" s="8"/>
      <c r="G4" s="8"/>
    </row>
    <row r="5" spans="1:12" s="68" customFormat="1" ht="12" customHeight="1" x14ac:dyDescent="0.25">
      <c r="A5" s="67"/>
      <c r="B5" s="106" t="s">
        <v>29</v>
      </c>
      <c r="C5" s="107"/>
      <c r="D5" s="108"/>
      <c r="E5" s="106" t="s">
        <v>30</v>
      </c>
      <c r="F5" s="109"/>
      <c r="G5" s="110"/>
    </row>
    <row r="6" spans="1:12" s="68" customFormat="1" ht="12" customHeight="1" x14ac:dyDescent="0.25">
      <c r="A6" s="69" t="s">
        <v>31</v>
      </c>
      <c r="B6" s="70" t="s">
        <v>2</v>
      </c>
      <c r="C6" s="71" t="s">
        <v>3</v>
      </c>
      <c r="D6" s="72" t="s">
        <v>32</v>
      </c>
      <c r="E6" s="70" t="s">
        <v>2</v>
      </c>
      <c r="F6" s="71" t="s">
        <v>3</v>
      </c>
      <c r="G6" s="72" t="s">
        <v>32</v>
      </c>
    </row>
    <row r="7" spans="1:12" s="68" customFormat="1" ht="12" customHeight="1" x14ac:dyDescent="0.25">
      <c r="A7" s="73"/>
      <c r="B7" s="74"/>
      <c r="D7" s="75"/>
      <c r="E7" s="74"/>
      <c r="G7" s="75"/>
    </row>
    <row r="8" spans="1:12" s="68" customFormat="1" ht="12" customHeight="1" x14ac:dyDescent="0.25">
      <c r="A8" s="76">
        <v>2025</v>
      </c>
      <c r="B8" s="77">
        <f>+'2013A'!D14+'2012'!B14+'2013B'!B14+'2015'!B14+'2016B'!B14+'2016A'!B14+'2017A'!D14+'2017B'!B14+'2018'!B14+'2018A'!B14+'2019'!B14+'2019ref'!B14+'2020ref'!B14+'2020A'!B14+'2020B'!D14+'2021A'!D14+'2021B'!B14+'2022A'!D14+'2022B'!B14+'2022C'!B14+'2023'!B14+'2024'!B14+'2024'!C14+'2024Tax'!B14</f>
        <v>8775000</v>
      </c>
      <c r="C8" s="78">
        <f>'2012'!C14+'2013A'!E14+'2013A'!F14+'2013B'!C14+'2015'!C14+'2016A'!C14+'2016B'!C14+'2017A'!E14+'2017A'!F14+'2017B'!C14+'2018'!C14+'2018A'!C14+'2019'!C14+'2019ref'!C14+'2020ref'!C14+'2020B'!E14+'2020B'!F14+'2020A'!C14+'2021A'!E14+'2021A'!F14+'2021B'!C14+'2022A'!G14+'2022B'!C14+'2022C'!C14+'2023'!C14+'2024'!E14+'2024'!F14+'2024Tax'!C14</f>
        <v>8530278.2400000002</v>
      </c>
      <c r="D8" s="79">
        <f t="shared" ref="D8:D21" si="0">+B8+C8</f>
        <v>17305278.240000002</v>
      </c>
      <c r="E8" s="77">
        <f>+'2010(gtua)'!B14</f>
        <v>255960</v>
      </c>
      <c r="F8" s="78">
        <f>+'2010(gtua)'!C14</f>
        <v>38021.14</v>
      </c>
      <c r="G8" s="80">
        <f t="shared" ref="G8:G23" si="1">+E8+F8</f>
        <v>293981.14</v>
      </c>
      <c r="H8" s="81"/>
      <c r="I8" s="82"/>
    </row>
    <row r="9" spans="1:12" s="68" customFormat="1" ht="12" customHeight="1" x14ac:dyDescent="0.25">
      <c r="A9" s="76">
        <v>2026</v>
      </c>
      <c r="B9" s="77">
        <f>'2012'!B15+'2013B'!B15+'2015'!B15+'2016B'!B15+'2016A'!B15+'2017A'!D15+'2017B'!B15+'2018'!B15+'2018A'!B15+'2019'!B15+'2019ref'!B15+'2020ref'!B15+'2020A'!B15+'2020B'!D15+'2021A'!D15+'2021B'!B15+'2022A'!D15+'2022B'!B15+'2022C'!B15+'2023'!B15++'2024'!B15+'2024'!C15+'2024Tax'!B15</f>
        <v>8655000</v>
      </c>
      <c r="C9" s="78">
        <f>'2012'!C15+'2013B'!C15+'2015'!C15+'2016B'!C15+'2016A'!C15+'2017A'!G15+'2017B'!C15+'2018'!C15+'2018A'!C15+'2019'!C15+'2019ref'!C15+'2020ref'!C15+'2020A'!C15+'2020B'!G15+'2021A'!G15+'2021B'!C15+'2022A'!G15+'2022B'!C15+'2022C'!C15+'2023'!C15+'2024'!E15+'2024'!F15+'2024Tax'!C15</f>
        <v>7280582.25</v>
      </c>
      <c r="D9" s="79">
        <f t="shared" si="0"/>
        <v>15935582.25</v>
      </c>
      <c r="E9" s="77">
        <f>+'2010(gtua)'!B15</f>
        <v>262440</v>
      </c>
      <c r="F9" s="78">
        <f>+'2010(gtua)'!C15</f>
        <v>32410.5</v>
      </c>
      <c r="G9" s="80">
        <f t="shared" si="1"/>
        <v>294850.5</v>
      </c>
      <c r="H9" s="81"/>
      <c r="I9" s="82"/>
      <c r="J9" s="82"/>
    </row>
    <row r="10" spans="1:12" s="68" customFormat="1" ht="12" customHeight="1" x14ac:dyDescent="0.25">
      <c r="A10" s="76">
        <v>2027</v>
      </c>
      <c r="B10" s="77">
        <f>'2012'!B16+'2013B'!B16+'2015'!B16+'2016A'!B16+'2017A'!D16+'2017B'!B16+'2018'!B16+'2018A'!B16+'2019'!B16+'2019ref'!B16+'2020ref'!B16+'2020A'!B16+'2020B'!D16+'2021A'!D16+'2021B'!B16+'2022A'!D16+'2022B'!B16+'2022C'!B16+'2023'!B16+'2024'!B16+'2024'!C16+'2024Tax'!B16</f>
        <v>8630000</v>
      </c>
      <c r="C10" s="78">
        <f>+'2012'!C16+'2013B'!C16+'2015'!C16+'2016A'!C16+'2017A'!G16+'2017B'!C16+'2018'!C16+'2018A'!C16+'2019'!C16+'2019ref'!C16+'2020ref'!C16+'2020A'!C16+'2020B'!G16+'2021A'!G16+'2021B'!C16+'2022A'!G16+'2022B'!C16+'2022C'!C16+'2023'!C16+'2024'!E16+'2024'!F16+'2024Tax'!C16</f>
        <v>6968114</v>
      </c>
      <c r="D10" s="79">
        <f t="shared" si="0"/>
        <v>15598114</v>
      </c>
      <c r="E10" s="77">
        <f>+'2010(gtua)'!B16</f>
        <v>268920</v>
      </c>
      <c r="F10" s="78">
        <f>+'2010(gtua)'!C16</f>
        <v>26424.240000000002</v>
      </c>
      <c r="G10" s="80">
        <f t="shared" si="1"/>
        <v>295344.24</v>
      </c>
      <c r="H10" s="81"/>
      <c r="I10" s="82"/>
      <c r="J10" s="82"/>
    </row>
    <row r="11" spans="1:12" s="68" customFormat="1" ht="12" customHeight="1" x14ac:dyDescent="0.25">
      <c r="A11" s="76">
        <v>2028</v>
      </c>
      <c r="B11" s="77">
        <f>'2013B'!B17+'2015'!B17+'2012'!B17+'2016A'!B17+'2017A'!D17+'2018'!B17+'2018A'!B17+'2019'!B17+'2019ref'!B17+'2020ref'!B17+'2020A'!B17+'2020B'!D17+'2021A'!D17+'2021B'!B17+'2022A'!D17+'2022B'!B17+'2022C'!B17+'2023'!B17+'2024'!B17+'2024'!C17+'2024Tax'!B17</f>
        <v>9060000</v>
      </c>
      <c r="C11" s="78">
        <f>+'2013B'!C17+'2015'!C17+'2012'!C17+'2016A'!C17+'2017A'!G17+'2018'!C17+'2018A'!C17+'2019'!C17+'2019ref'!C17+'2020ref'!C17+'2020A'!C17+'2020B'!G17+'2021A'!G17+'2021B'!C17+'2022A'!G17+'2022B'!C17+'2022C'!C17+'2023'!C17+'2024'!E17+'2024'!F17+'2024Tax'!C17</f>
        <v>6625384</v>
      </c>
      <c r="D11" s="79">
        <f t="shared" si="0"/>
        <v>15685384</v>
      </c>
      <c r="E11" s="77">
        <f>+'2010(gtua)'!B17</f>
        <v>275400</v>
      </c>
      <c r="F11" s="78">
        <f>+'2010(gtua)'!C17</f>
        <v>20069.66</v>
      </c>
      <c r="G11" s="80">
        <f t="shared" si="1"/>
        <v>295469.65999999997</v>
      </c>
      <c r="H11" s="81"/>
    </row>
    <row r="12" spans="1:12" s="68" customFormat="1" ht="12" customHeight="1" x14ac:dyDescent="0.25">
      <c r="A12" s="76">
        <v>2029</v>
      </c>
      <c r="B12" s="77">
        <f>+'2013B'!B18+'2015'!B18+'2016A'!B18+'2017A'!D18+'2018'!B18+'2019'!B18+'2020ref'!B18+'2020A'!B18+'2020B'!D18+'2021A'!D18+'2021B'!B18+'2022A'!D18+'2022B'!B18+'2022C'!B18+'2023'!B18+'2024'!B18+'2024'!C18+'2024Tax'!B18</f>
        <v>8525000</v>
      </c>
      <c r="C12" s="78">
        <f>+'2013B'!C18+'2015'!C18+'2016A'!C18+'2017A'!G18+'2018'!C18+'2019'!C18+'2020ref'!C18+'2020A'!C18+'2020B'!G18+'2021A'!G18+'2021B'!C18+'2022A'!G18+'2022B'!C18+'2022C'!C18+'2023'!C18+'2024'!E18+'2024'!F18+'2024Tax'!C18</f>
        <v>6246328.25</v>
      </c>
      <c r="D12" s="79">
        <f t="shared" si="0"/>
        <v>14771328.25</v>
      </c>
      <c r="E12" s="77">
        <f>+'2010(gtua)'!B18</f>
        <v>281880</v>
      </c>
      <c r="F12" s="78">
        <f>+'2010(gtua)'!C18</f>
        <v>13358.16</v>
      </c>
      <c r="G12" s="80">
        <f t="shared" si="1"/>
        <v>295238.15999999997</v>
      </c>
      <c r="H12" s="81"/>
      <c r="I12" s="82"/>
      <c r="J12" s="82"/>
    </row>
    <row r="13" spans="1:12" s="68" customFormat="1" ht="12" customHeight="1" x14ac:dyDescent="0.25">
      <c r="A13" s="76">
        <v>2030</v>
      </c>
      <c r="B13" s="77">
        <f>+'2013B'!B19+'2015'!B19+'2016A'!B19+'2017A'!D19+'2018'!B19+'2019'!B19+'2020A'!B19+'2020B'!D19+'2021A'!D19+'2021B'!B19+'2022A'!D19+'2022B'!B19+'2022C'!B19+'2023'!B19+'2024'!B19+'2024'!C19+'2024Tax'!B19</f>
        <v>8395000</v>
      </c>
      <c r="C13" s="78">
        <f>+'2013B'!C19+'2015'!C19+'2016A'!C19+'2017A'!G19+'2018'!C19+'2019'!C19+'2020A'!C19+'2020B'!G19+'2021A'!G19+'2021B'!C19+'2022A'!G19+'2022B'!C19+'2022C'!C19+'2023'!C19+'2024'!E19+'2024'!F19+'2024Tax'!C19</f>
        <v>5888208.75</v>
      </c>
      <c r="D13" s="79">
        <f t="shared" si="0"/>
        <v>14283208.75</v>
      </c>
      <c r="E13" s="77">
        <f>+'2010(gtua)'!B19</f>
        <v>255960</v>
      </c>
      <c r="F13" s="78">
        <f>+'2010(gtua)'!C19</f>
        <v>6347.8</v>
      </c>
      <c r="G13" s="80">
        <f t="shared" si="1"/>
        <v>262307.8</v>
      </c>
      <c r="H13" s="81"/>
      <c r="I13" s="83"/>
      <c r="J13" s="83"/>
      <c r="K13" s="84"/>
      <c r="L13" s="84"/>
    </row>
    <row r="14" spans="1:12" s="68" customFormat="1" ht="12" customHeight="1" x14ac:dyDescent="0.25">
      <c r="A14" s="76">
        <v>2031</v>
      </c>
      <c r="B14" s="77">
        <f>+'2013B'!B20+'2015'!B20+'2016A'!B20+'2017A'!D20+'2018'!B20+'2019'!B20+'2020B'!D20+'2021A'!D20+'2021B'!B20+'2022A'!D20+'2022B'!B20+'2022C'!B20+'2023'!B20+'2024'!B20+'2024'!C20+'2024Tax'!B20</f>
        <v>8500000</v>
      </c>
      <c r="C14" s="78">
        <f>+'2013B'!C20+'2015'!C20+'2016A'!C20+'2017A'!G20+'2018'!C20+'2019'!C20+'2020B'!G20+'2021A'!G20+'2021B'!C20+'2022A'!G20+'2022B'!C20+'2022C'!C20+'2023'!C20+'2024'!E20+'2024'!F20+'2024Tax'!C20</f>
        <v>5522906</v>
      </c>
      <c r="D14" s="79">
        <f t="shared" si="0"/>
        <v>14022906</v>
      </c>
      <c r="E14" s="77">
        <v>0</v>
      </c>
      <c r="F14" s="78">
        <v>0</v>
      </c>
      <c r="G14" s="80">
        <f t="shared" si="1"/>
        <v>0</v>
      </c>
      <c r="H14" s="81"/>
      <c r="I14" s="83"/>
      <c r="J14" s="83"/>
      <c r="K14" s="84"/>
      <c r="L14" s="84"/>
    </row>
    <row r="15" spans="1:12" s="68" customFormat="1" ht="12" customHeight="1" x14ac:dyDescent="0.25">
      <c r="A15" s="76">
        <v>2032</v>
      </c>
      <c r="B15" s="77">
        <f>+'2013B'!B21+'2015'!B21+'2016A'!B21+'2017A'!D21+'2018'!B21+'2019'!B21+'2020B'!D21+'2021A'!D21+'2021B'!B21+'2022A'!D21+'2022B'!B21+'2022C'!B21+'2023'!B21+'2024'!B21+'2024'!C21</f>
        <v>8230000</v>
      </c>
      <c r="C15" s="78">
        <f>+'2013B'!C21+'2015'!C21+'2016A'!C21+'2017A'!G21+'2018'!C21+'2019'!C21+'2020B'!G21+'2021A'!G21+'2021B'!C21+'2022A'!G21+'2022B'!C21+'2022C'!C21+'2023'!C21+'2024'!E21+'2024'!F21</f>
        <v>5159034.25</v>
      </c>
      <c r="D15" s="79">
        <f t="shared" si="0"/>
        <v>13389034.25</v>
      </c>
      <c r="E15" s="77">
        <v>0</v>
      </c>
      <c r="F15" s="78">
        <v>0</v>
      </c>
      <c r="G15" s="80">
        <f t="shared" si="1"/>
        <v>0</v>
      </c>
      <c r="H15" s="81"/>
      <c r="I15" s="83"/>
      <c r="J15" s="83"/>
      <c r="K15" s="84"/>
      <c r="L15" s="84"/>
    </row>
    <row r="16" spans="1:12" s="68" customFormat="1" ht="12" customHeight="1" x14ac:dyDescent="0.25">
      <c r="A16" s="76">
        <v>2033</v>
      </c>
      <c r="B16" s="77">
        <f>+'2013B'!B22+'2015'!B22+'2016A'!B22+'2017A'!D22+'2018'!B22+'2019'!B22+'2020B'!D22+'2021A'!D22+'2021B'!B22+'2022A'!D22+'2022B'!B22+'2023'!B22+'2024'!B22+'2024'!C22</f>
        <v>8445000</v>
      </c>
      <c r="C16" s="78">
        <f>+'2013B'!C22+'2015'!C22+'2016A'!C22+'2017A'!G22+'2018'!C22+'2019'!C22+'2020B'!G22+'2021A'!G22+'2021B'!C22+'2022A'!G22+'2022B'!C22+'2023'!C22+'2024'!E22+'2024'!F22</f>
        <v>4811251</v>
      </c>
      <c r="D16" s="79">
        <f t="shared" si="0"/>
        <v>13256251</v>
      </c>
      <c r="E16" s="77">
        <v>0</v>
      </c>
      <c r="F16" s="78">
        <v>0</v>
      </c>
      <c r="G16" s="80">
        <f t="shared" si="1"/>
        <v>0</v>
      </c>
      <c r="H16" s="81"/>
      <c r="I16" s="83"/>
      <c r="J16" s="83"/>
      <c r="K16" s="84"/>
      <c r="L16" s="84"/>
    </row>
    <row r="17" spans="1:10" s="68" customFormat="1" ht="12" customHeight="1" x14ac:dyDescent="0.25">
      <c r="A17" s="76">
        <v>2034</v>
      </c>
      <c r="B17" s="77">
        <f>'2015'!B23+'2016A'!B23+'2017A'!D23+'2018'!B23+'2019'!B23+'2020B'!D23+'2021A'!D23+'2021B'!B23+'2022A'!D23+'2022B'!B23+'2023'!B23+'2024'!B23+'2024'!C23</f>
        <v>8625000</v>
      </c>
      <c r="C17" s="78">
        <f>+'2015'!C23+'2016A'!C23+'2017A'!G23+'2018'!C23+'2019'!C23+'2020B'!G23+'2021A'!G23+'2021B'!C23+'2022A'!G23+'2022B'!C23+'2023'!C23+'2024'!E23+'2024'!F23</f>
        <v>4469265.25</v>
      </c>
      <c r="D17" s="79">
        <f t="shared" si="0"/>
        <v>13094265.25</v>
      </c>
      <c r="E17" s="77">
        <v>0</v>
      </c>
      <c r="F17" s="78">
        <v>0</v>
      </c>
      <c r="G17" s="80">
        <f t="shared" si="1"/>
        <v>0</v>
      </c>
      <c r="H17" s="85"/>
      <c r="I17" s="82"/>
      <c r="J17" s="82"/>
    </row>
    <row r="18" spans="1:10" s="68" customFormat="1" ht="12" customHeight="1" x14ac:dyDescent="0.25">
      <c r="A18" s="76">
        <v>2035</v>
      </c>
      <c r="B18" s="77">
        <f>'2015'!B24+'2016A'!B24+'2017A'!D24+'2018'!B24+'2019'!B24+'2020B'!D24+'2021A'!D24+'2021B'!B24+'2022A'!D24+'2022B'!B24+'2023'!B24+'2024'!B24+'2024'!C24</f>
        <v>8990000</v>
      </c>
      <c r="C18" s="78">
        <f>+'2015'!C24+'2016A'!C24+'2017A'!G24+'2018'!C24+'2019'!C24+'2020B'!G24+'2021A'!G24+'2021B'!C24+'2022A'!G24+'2022B'!C24+'2023'!C24+'2024'!E24+'2024'!F24</f>
        <v>4115450.75</v>
      </c>
      <c r="D18" s="79">
        <f t="shared" si="0"/>
        <v>13105450.75</v>
      </c>
      <c r="E18" s="77">
        <v>0</v>
      </c>
      <c r="F18" s="78">
        <v>0</v>
      </c>
      <c r="G18" s="80">
        <f t="shared" si="1"/>
        <v>0</v>
      </c>
      <c r="H18" s="85"/>
      <c r="I18" s="82"/>
      <c r="J18" s="82"/>
    </row>
    <row r="19" spans="1:10" s="68" customFormat="1" ht="12" customHeight="1" x14ac:dyDescent="0.25">
      <c r="A19" s="76">
        <v>2036</v>
      </c>
      <c r="B19" s="77">
        <f>'2016A'!B25+'2017A'!D25+'2018'!B25+'2019'!B25+'2020B'!D25+'2021A'!D25+'2021B'!B25+'2022A'!D25+'2022B'!B25+'2023'!B25+'2024'!B25+'2024'!C25</f>
        <v>8770000</v>
      </c>
      <c r="C19" s="78">
        <f>'2016A'!C25+'2017A'!G25+'2018'!C25+'2019'!C25+'2020B'!G25+'2021A'!G25+'2021B'!C25+'2022A'!G25+'2022B'!C25+'2023'!C25+'2024'!E25+'2024'!F25</f>
        <v>3759820</v>
      </c>
      <c r="D19" s="79">
        <f t="shared" si="0"/>
        <v>12529820</v>
      </c>
      <c r="E19" s="77">
        <v>0</v>
      </c>
      <c r="F19" s="78">
        <v>0</v>
      </c>
      <c r="G19" s="80">
        <f t="shared" si="1"/>
        <v>0</v>
      </c>
      <c r="H19" s="85"/>
      <c r="I19" s="82"/>
      <c r="J19" s="82"/>
    </row>
    <row r="20" spans="1:10" s="68" customFormat="1" ht="12" customHeight="1" x14ac:dyDescent="0.25">
      <c r="A20" s="76">
        <v>2037</v>
      </c>
      <c r="B20" s="77">
        <f>+'2017A'!D26+'2018'!B26+'2019'!B26+'2020B'!D26+'2021A'!D26+'2021B'!B26+'2022A'!D26+'2022B'!B26+'2023'!B26+'2024'!B26+'2024'!C26</f>
        <v>8945000</v>
      </c>
      <c r="C20" s="78">
        <f>+'2017A'!G26+'2018'!C26+'2019'!C26+'2020B'!G26+'2021A'!G26+'2021B'!C26+'2022A'!G26+'2022B'!C26+'2024'!E26+'2024'!F26+'2023'!C26</f>
        <v>3409189</v>
      </c>
      <c r="D20" s="79">
        <f t="shared" si="0"/>
        <v>12354189</v>
      </c>
      <c r="E20" s="77">
        <v>0</v>
      </c>
      <c r="F20" s="78">
        <v>0</v>
      </c>
      <c r="G20" s="80">
        <f t="shared" si="1"/>
        <v>0</v>
      </c>
      <c r="H20" s="85"/>
      <c r="I20" s="82"/>
      <c r="J20" s="82"/>
    </row>
    <row r="21" spans="1:10" s="68" customFormat="1" ht="12" customHeight="1" x14ac:dyDescent="0.25">
      <c r="A21" s="76">
        <v>2038</v>
      </c>
      <c r="B21" s="77">
        <f>+'2018'!B27+'2019'!B27+'2020B'!D27+'2021A'!D27+'2021B'!B27+'2022A'!D27+'2022B'!B27+'2023'!B27+'2024'!B27+'2024'!C27</f>
        <v>8845000</v>
      </c>
      <c r="C21" s="78">
        <f>+'2018'!C27+'2019'!C27+'2020B'!G27+'2021A'!G27+'2021B'!C27+'2022A'!G27+'2022B'!C27+'2023'!C27+'2024'!E27+'2024'!F27</f>
        <v>3056359.5</v>
      </c>
      <c r="D21" s="79">
        <f t="shared" si="0"/>
        <v>11901359.5</v>
      </c>
      <c r="E21" s="77">
        <v>0</v>
      </c>
      <c r="F21" s="78">
        <v>0</v>
      </c>
      <c r="G21" s="80">
        <f t="shared" si="1"/>
        <v>0</v>
      </c>
      <c r="H21" s="85"/>
      <c r="I21" s="82"/>
      <c r="J21" s="82"/>
    </row>
    <row r="22" spans="1:10" s="68" customFormat="1" ht="12" customHeight="1" x14ac:dyDescent="0.25">
      <c r="A22" s="76">
        <v>2039</v>
      </c>
      <c r="B22" s="77">
        <f>+'2019'!B28+'2020B'!D28+'2021A'!D28+'2021B'!B28+'2022A'!D28+'2022B'!B28+'2023'!B28+'2024'!B28+'2024'!C28</f>
        <v>8695000</v>
      </c>
      <c r="C22" s="78">
        <f>+'2019'!C28+'2020B'!G28+'2021A'!G28+'2021B'!C28+'2022A'!G28+'2022B'!C28+'2023'!C28+'2024'!E28+'2024'!F28</f>
        <v>2702722.75</v>
      </c>
      <c r="D22" s="79">
        <f>+B22+C22</f>
        <v>11397722.75</v>
      </c>
      <c r="E22" s="77">
        <v>0</v>
      </c>
      <c r="F22" s="78">
        <v>0</v>
      </c>
      <c r="G22" s="80">
        <f t="shared" si="1"/>
        <v>0</v>
      </c>
      <c r="H22" s="85"/>
      <c r="I22" s="82"/>
      <c r="J22" s="82"/>
    </row>
    <row r="23" spans="1:10" s="68" customFormat="1" ht="12" customHeight="1" x14ac:dyDescent="0.25">
      <c r="A23" s="76">
        <v>2040</v>
      </c>
      <c r="B23" s="77">
        <f>+'2020B'!D29+'2021A'!D29+'2021B'!B29+'2022A'!D29+'2022B'!B29+'2023'!B29+'2024'!B29+'2024'!C29</f>
        <v>8665000</v>
      </c>
      <c r="C23" s="78">
        <f>+'2020B'!G29+'2021A'!G29+'2021B'!C29+'2022A'!G29+'2022B'!C29+'2023'!C29+'2024'!E29+'2024'!F29</f>
        <v>2360922</v>
      </c>
      <c r="D23" s="79">
        <f>+B23+C23</f>
        <v>11025922</v>
      </c>
      <c r="E23" s="77">
        <v>0</v>
      </c>
      <c r="F23" s="78">
        <v>0</v>
      </c>
      <c r="G23" s="80">
        <f t="shared" si="1"/>
        <v>0</v>
      </c>
      <c r="H23" s="85"/>
      <c r="I23" s="82"/>
      <c r="J23" s="82"/>
    </row>
    <row r="24" spans="1:10" s="68" customFormat="1" ht="12" customHeight="1" x14ac:dyDescent="0.25">
      <c r="A24" s="76">
        <v>2041</v>
      </c>
      <c r="B24" s="77">
        <f>+'2021A'!D30+'2021B'!B30+'2022A'!D30+'2022B'!B30+'2023'!B30+'2024'!B30+'2024'!C30</f>
        <v>8265000</v>
      </c>
      <c r="C24" s="78">
        <f>+'2021A'!G30+'2021B'!C30+'2022A'!G30+'2022B'!C30+'2023'!C30+'2024'!E30+'2024'!F30</f>
        <v>2034998.5</v>
      </c>
      <c r="D24" s="79">
        <f>+B24+C24</f>
        <v>10299998.5</v>
      </c>
      <c r="E24" s="77">
        <v>0</v>
      </c>
      <c r="F24" s="78">
        <v>0</v>
      </c>
      <c r="G24" s="80">
        <f t="shared" ref="G24:G37" si="2">+E24+F24</f>
        <v>0</v>
      </c>
      <c r="H24" s="85"/>
      <c r="I24" s="82"/>
      <c r="J24" s="82"/>
    </row>
    <row r="25" spans="1:10" s="68" customFormat="1" ht="12" customHeight="1" x14ac:dyDescent="0.25">
      <c r="A25" s="76">
        <v>2042</v>
      </c>
      <c r="B25" s="77">
        <f>+'2022A'!D31+'2022B'!B31+'2023'!B31+'2024'!B31+'2024'!C31</f>
        <v>6715000</v>
      </c>
      <c r="C25" s="78">
        <f>+'2022A'!G31+'2022B'!C31+'2023'!C31+'2024'!E31+'2024'!F31</f>
        <v>1725421</v>
      </c>
      <c r="D25" s="79">
        <f>+B25+C25</f>
        <v>8440421</v>
      </c>
      <c r="E25" s="77">
        <v>0</v>
      </c>
      <c r="F25" s="78">
        <v>0</v>
      </c>
      <c r="G25" s="80">
        <f t="shared" si="2"/>
        <v>0</v>
      </c>
      <c r="H25" s="85"/>
      <c r="I25" s="82"/>
      <c r="J25" s="82"/>
    </row>
    <row r="26" spans="1:10" s="68" customFormat="1" ht="12" customHeight="1" x14ac:dyDescent="0.25">
      <c r="A26" s="76">
        <v>2043</v>
      </c>
      <c r="B26" s="77">
        <f>'2023'!B32+'2024'!B32+'2024'!C32</f>
        <v>4975000</v>
      </c>
      <c r="C26" s="78">
        <f>'2023'!C32+'2024'!E32+'2024'!F32</f>
        <v>1463581.25</v>
      </c>
      <c r="D26" s="79">
        <f>+B26+C26</f>
        <v>6438581.25</v>
      </c>
      <c r="E26" s="77">
        <v>0</v>
      </c>
      <c r="F26" s="78">
        <v>0</v>
      </c>
      <c r="G26" s="80">
        <f t="shared" si="2"/>
        <v>0</v>
      </c>
      <c r="H26" s="85"/>
      <c r="I26" s="82"/>
      <c r="J26" s="82"/>
    </row>
    <row r="27" spans="1:10" s="68" customFormat="1" ht="12" customHeight="1" x14ac:dyDescent="0.25">
      <c r="A27" s="76">
        <v>2044</v>
      </c>
      <c r="B27" s="77">
        <f>'2024'!B33+'2024'!C33</f>
        <v>2070000</v>
      </c>
      <c r="C27" s="78">
        <f>'2024'!E33+'2024'!F33</f>
        <v>1298725</v>
      </c>
      <c r="D27" s="79">
        <f t="shared" ref="D27:D37" si="3">+B27+C27</f>
        <v>3368725</v>
      </c>
      <c r="E27" s="77">
        <v>0</v>
      </c>
      <c r="F27" s="78">
        <v>0</v>
      </c>
      <c r="G27" s="80">
        <f t="shared" si="2"/>
        <v>0</v>
      </c>
      <c r="H27" s="85"/>
      <c r="I27" s="82"/>
      <c r="J27" s="82"/>
    </row>
    <row r="28" spans="1:10" s="68" customFormat="1" ht="12" customHeight="1" x14ac:dyDescent="0.25">
      <c r="A28" s="76">
        <v>2045</v>
      </c>
      <c r="B28" s="77">
        <f>'2024'!B34+'2024'!C34</f>
        <v>2175000</v>
      </c>
      <c r="C28" s="78">
        <f>'2024'!E34+'2024'!F34</f>
        <v>1192600</v>
      </c>
      <c r="D28" s="79">
        <f t="shared" si="3"/>
        <v>3367600</v>
      </c>
      <c r="E28" s="77">
        <v>0</v>
      </c>
      <c r="F28" s="78">
        <v>0</v>
      </c>
      <c r="G28" s="80">
        <f t="shared" si="2"/>
        <v>0</v>
      </c>
      <c r="H28" s="85"/>
      <c r="I28" s="82"/>
      <c r="J28" s="82"/>
    </row>
    <row r="29" spans="1:10" s="68" customFormat="1" ht="12" customHeight="1" x14ac:dyDescent="0.25">
      <c r="A29" s="76">
        <v>2046</v>
      </c>
      <c r="B29" s="77">
        <f>'2024'!B35+'2024'!C35</f>
        <v>2285000</v>
      </c>
      <c r="C29" s="78">
        <f>'2024'!E35+'2024'!F35</f>
        <v>1081100</v>
      </c>
      <c r="D29" s="79">
        <f t="shared" si="3"/>
        <v>3366100</v>
      </c>
      <c r="E29" s="77">
        <v>0</v>
      </c>
      <c r="F29" s="78">
        <v>0</v>
      </c>
      <c r="G29" s="80">
        <f t="shared" si="2"/>
        <v>0</v>
      </c>
      <c r="H29" s="85"/>
      <c r="I29" s="82"/>
      <c r="J29" s="82"/>
    </row>
    <row r="30" spans="1:10" s="68" customFormat="1" ht="12" customHeight="1" x14ac:dyDescent="0.25">
      <c r="A30" s="76">
        <v>2047</v>
      </c>
      <c r="B30" s="77">
        <f>'2024'!B36+'2024'!C36</f>
        <v>2405000</v>
      </c>
      <c r="C30" s="78">
        <f>'2024'!E36+'2024'!F36</f>
        <v>963850</v>
      </c>
      <c r="D30" s="79">
        <f t="shared" si="3"/>
        <v>3368850</v>
      </c>
      <c r="E30" s="77">
        <v>0</v>
      </c>
      <c r="F30" s="78">
        <v>0</v>
      </c>
      <c r="G30" s="80">
        <f t="shared" si="2"/>
        <v>0</v>
      </c>
      <c r="H30" s="85"/>
      <c r="I30" s="82"/>
      <c r="J30" s="82"/>
    </row>
    <row r="31" spans="1:10" s="68" customFormat="1" ht="12" customHeight="1" x14ac:dyDescent="0.25">
      <c r="A31" s="76">
        <v>2048</v>
      </c>
      <c r="B31" s="77">
        <f>'2024'!B37+'2024'!C37</f>
        <v>2525000</v>
      </c>
      <c r="C31" s="78">
        <f>'2024'!E37+'2024'!F37</f>
        <v>840600</v>
      </c>
      <c r="D31" s="79">
        <f t="shared" si="3"/>
        <v>3365600</v>
      </c>
      <c r="E31" s="77">
        <v>0</v>
      </c>
      <c r="F31" s="78">
        <v>0</v>
      </c>
      <c r="G31" s="80">
        <f t="shared" si="2"/>
        <v>0</v>
      </c>
      <c r="H31" s="85"/>
      <c r="I31" s="82"/>
      <c r="J31" s="82"/>
    </row>
    <row r="32" spans="1:10" s="68" customFormat="1" ht="12" customHeight="1" x14ac:dyDescent="0.25">
      <c r="A32" s="76">
        <v>2049</v>
      </c>
      <c r="B32" s="77">
        <f>'2024'!B38+'2024'!C38</f>
        <v>2655000</v>
      </c>
      <c r="C32" s="78">
        <f>'2024'!E38+'2024'!F38</f>
        <v>711100</v>
      </c>
      <c r="D32" s="79">
        <f t="shared" si="3"/>
        <v>3366100</v>
      </c>
      <c r="E32" s="77">
        <v>0</v>
      </c>
      <c r="F32" s="78">
        <v>0</v>
      </c>
      <c r="G32" s="80">
        <f t="shared" si="2"/>
        <v>0</v>
      </c>
      <c r="H32" s="85"/>
      <c r="I32" s="82"/>
      <c r="J32" s="82"/>
    </row>
    <row r="33" spans="1:11" s="68" customFormat="1" ht="12" customHeight="1" x14ac:dyDescent="0.25">
      <c r="A33" s="76">
        <v>2050</v>
      </c>
      <c r="B33" s="77">
        <f>'2024'!B39+'2024'!C39</f>
        <v>2780000</v>
      </c>
      <c r="C33" s="78">
        <f>'2024'!E39+'2024'!F39</f>
        <v>585650</v>
      </c>
      <c r="D33" s="79">
        <f t="shared" si="3"/>
        <v>3365650</v>
      </c>
      <c r="E33" s="77">
        <v>0</v>
      </c>
      <c r="F33" s="78">
        <v>0</v>
      </c>
      <c r="G33" s="80">
        <f t="shared" si="2"/>
        <v>0</v>
      </c>
      <c r="H33" s="85"/>
      <c r="I33" s="82"/>
      <c r="J33" s="82"/>
    </row>
    <row r="34" spans="1:11" s="68" customFormat="1" ht="12" customHeight="1" x14ac:dyDescent="0.25">
      <c r="A34" s="76">
        <v>2051</v>
      </c>
      <c r="B34" s="77">
        <f>'2024'!B40+'2024'!C40</f>
        <v>2905000</v>
      </c>
      <c r="C34" s="78">
        <f>'2024'!E40+'2024'!F40</f>
        <v>464843.75</v>
      </c>
      <c r="D34" s="79">
        <f t="shared" si="3"/>
        <v>3369843.75</v>
      </c>
      <c r="E34" s="77">
        <v>0</v>
      </c>
      <c r="F34" s="78">
        <v>0</v>
      </c>
      <c r="G34" s="80">
        <f t="shared" si="2"/>
        <v>0</v>
      </c>
      <c r="H34" s="85"/>
      <c r="I34" s="82"/>
      <c r="J34" s="82"/>
    </row>
    <row r="35" spans="1:11" s="68" customFormat="1" ht="12" customHeight="1" x14ac:dyDescent="0.25">
      <c r="A35" s="76">
        <v>2052</v>
      </c>
      <c r="B35" s="77">
        <f>'2024'!B41+'2024'!C41</f>
        <v>3030000</v>
      </c>
      <c r="C35" s="78">
        <f>'2024'!E41+'2024'!F41</f>
        <v>338725</v>
      </c>
      <c r="D35" s="79">
        <f t="shared" si="3"/>
        <v>3368725</v>
      </c>
      <c r="E35" s="77">
        <v>0</v>
      </c>
      <c r="F35" s="78">
        <v>0</v>
      </c>
      <c r="G35" s="80">
        <f t="shared" si="2"/>
        <v>0</v>
      </c>
      <c r="H35" s="85"/>
      <c r="I35" s="82"/>
      <c r="J35" s="82"/>
    </row>
    <row r="36" spans="1:11" s="68" customFormat="1" ht="12" customHeight="1" x14ac:dyDescent="0.25">
      <c r="A36" s="76">
        <v>2053</v>
      </c>
      <c r="B36" s="77">
        <f>'2024'!B42+'2024'!C42</f>
        <v>3160000</v>
      </c>
      <c r="C36" s="78">
        <f>'2024'!E42+'2024'!F42</f>
        <v>207187.5</v>
      </c>
      <c r="D36" s="79">
        <f t="shared" si="3"/>
        <v>3367187.5</v>
      </c>
      <c r="E36" s="77">
        <v>0</v>
      </c>
      <c r="F36" s="78">
        <v>0</v>
      </c>
      <c r="G36" s="80">
        <f t="shared" si="2"/>
        <v>0</v>
      </c>
      <c r="H36" s="85"/>
      <c r="I36" s="82"/>
      <c r="J36" s="82"/>
    </row>
    <row r="37" spans="1:11" s="68" customFormat="1" ht="12" customHeight="1" x14ac:dyDescent="0.25">
      <c r="A37" s="76">
        <v>2054</v>
      </c>
      <c r="B37" s="77">
        <f>'2024'!B43+'2024'!C43</f>
        <v>3295000</v>
      </c>
      <c r="C37" s="78">
        <f>'2024'!E43+'2024'!F43</f>
        <v>70018.75</v>
      </c>
      <c r="D37" s="79">
        <f t="shared" si="3"/>
        <v>3365018.75</v>
      </c>
      <c r="E37" s="77">
        <v>0</v>
      </c>
      <c r="F37" s="78">
        <v>0</v>
      </c>
      <c r="G37" s="80">
        <f t="shared" si="2"/>
        <v>0</v>
      </c>
      <c r="H37" s="85"/>
      <c r="I37" s="82"/>
      <c r="J37" s="82"/>
    </row>
    <row r="38" spans="1:11" s="68" customFormat="1" ht="12" customHeight="1" x14ac:dyDescent="0.25">
      <c r="A38" s="86" t="s">
        <v>4</v>
      </c>
      <c r="B38" s="87">
        <f>SUM(B8:B37)</f>
        <v>187990000</v>
      </c>
      <c r="C38" s="87">
        <f t="shared" ref="C38:G38" si="4">SUM(C8:C37)</f>
        <v>93884216.74000001</v>
      </c>
      <c r="D38" s="87">
        <f t="shared" si="4"/>
        <v>281874216.74000001</v>
      </c>
      <c r="E38" s="87">
        <f t="shared" si="4"/>
        <v>1600560</v>
      </c>
      <c r="F38" s="87">
        <f t="shared" si="4"/>
        <v>136631.5</v>
      </c>
      <c r="G38" s="97">
        <f t="shared" si="4"/>
        <v>1737191.5</v>
      </c>
    </row>
    <row r="39" spans="1:11" s="68" customFormat="1" ht="12" customHeight="1" x14ac:dyDescent="0.25">
      <c r="A39" s="88"/>
      <c r="B39" s="89"/>
      <c r="C39" s="89"/>
      <c r="D39" s="89"/>
      <c r="E39" s="89"/>
      <c r="F39" s="89"/>
      <c r="G39" s="89"/>
    </row>
    <row r="40" spans="1:11" s="68" customFormat="1" ht="12" customHeight="1" x14ac:dyDescent="0.25">
      <c r="C40" s="90"/>
      <c r="D40" s="107" t="s">
        <v>34</v>
      </c>
      <c r="E40" s="107"/>
      <c r="F40" s="108"/>
      <c r="G40" s="82"/>
    </row>
    <row r="41" spans="1:11" s="68" customFormat="1" ht="12" customHeight="1" x14ac:dyDescent="0.25">
      <c r="C41" s="69" t="s">
        <v>31</v>
      </c>
      <c r="D41" s="71" t="s">
        <v>2</v>
      </c>
      <c r="E41" s="71" t="s">
        <v>3</v>
      </c>
      <c r="F41" s="72" t="s">
        <v>32</v>
      </c>
    </row>
    <row r="42" spans="1:11" s="68" customFormat="1" ht="12" customHeight="1" x14ac:dyDescent="0.25">
      <c r="C42" s="73"/>
      <c r="F42" s="75"/>
      <c r="H42" s="91"/>
      <c r="I42" s="91"/>
      <c r="J42" s="91"/>
    </row>
    <row r="43" spans="1:11" s="68" customFormat="1" ht="12" customHeight="1" x14ac:dyDescent="0.25">
      <c r="C43" s="76">
        <v>2025</v>
      </c>
      <c r="D43" s="91">
        <f t="shared" ref="D43:D72" si="5">+B8+E8</f>
        <v>9030960</v>
      </c>
      <c r="E43" s="91">
        <f t="shared" ref="E43:E72" si="6">+C8+F8</f>
        <v>8568299.3800000008</v>
      </c>
      <c r="F43" s="80">
        <f t="shared" ref="F43:F46" si="7">+D43+E43</f>
        <v>17599259.380000003</v>
      </c>
      <c r="G43" s="91"/>
      <c r="H43" s="91"/>
      <c r="I43" s="91"/>
      <c r="J43" s="91"/>
      <c r="K43" s="91"/>
    </row>
    <row r="44" spans="1:11" s="68" customFormat="1" ht="12" customHeight="1" x14ac:dyDescent="0.25">
      <c r="C44" s="76">
        <v>2026</v>
      </c>
      <c r="D44" s="91">
        <f t="shared" si="5"/>
        <v>8917440</v>
      </c>
      <c r="E44" s="91">
        <f t="shared" si="6"/>
        <v>7312992.75</v>
      </c>
      <c r="F44" s="80">
        <f t="shared" si="7"/>
        <v>16230432.75</v>
      </c>
      <c r="G44" s="91"/>
      <c r="H44" s="91"/>
      <c r="I44" s="91"/>
      <c r="J44" s="91"/>
      <c r="K44" s="91"/>
    </row>
    <row r="45" spans="1:11" s="68" customFormat="1" ht="12" customHeight="1" x14ac:dyDescent="0.25">
      <c r="C45" s="76">
        <v>2027</v>
      </c>
      <c r="D45" s="91">
        <f t="shared" si="5"/>
        <v>8898920</v>
      </c>
      <c r="E45" s="91">
        <f t="shared" si="6"/>
        <v>6994538.2400000002</v>
      </c>
      <c r="F45" s="80">
        <f t="shared" si="7"/>
        <v>15893458.24</v>
      </c>
      <c r="G45" s="91"/>
      <c r="H45" s="91"/>
      <c r="I45" s="91"/>
      <c r="J45" s="91"/>
      <c r="K45" s="91"/>
    </row>
    <row r="46" spans="1:11" s="68" customFormat="1" ht="12" customHeight="1" x14ac:dyDescent="0.25">
      <c r="C46" s="76">
        <v>2028</v>
      </c>
      <c r="D46" s="91">
        <f t="shared" si="5"/>
        <v>9335400</v>
      </c>
      <c r="E46" s="91">
        <f t="shared" si="6"/>
        <v>6645453.6600000001</v>
      </c>
      <c r="F46" s="80">
        <f t="shared" si="7"/>
        <v>15980853.66</v>
      </c>
      <c r="G46" s="91"/>
      <c r="H46" s="91"/>
      <c r="I46" s="91"/>
      <c r="J46" s="91"/>
      <c r="K46" s="91"/>
    </row>
    <row r="47" spans="1:11" s="68" customFormat="1" ht="12" customHeight="1" x14ac:dyDescent="0.25">
      <c r="C47" s="76">
        <v>2029</v>
      </c>
      <c r="D47" s="91">
        <f t="shared" si="5"/>
        <v>8806880</v>
      </c>
      <c r="E47" s="91">
        <f t="shared" si="6"/>
        <v>6259686.4100000001</v>
      </c>
      <c r="F47" s="80">
        <f>+D47+E47</f>
        <v>15066566.41</v>
      </c>
      <c r="G47" s="91"/>
      <c r="H47" s="91"/>
      <c r="I47" s="91"/>
      <c r="J47" s="91"/>
      <c r="K47" s="91"/>
    </row>
    <row r="48" spans="1:11" s="68" customFormat="1" ht="12" customHeight="1" x14ac:dyDescent="0.25">
      <c r="C48" s="76">
        <v>2030</v>
      </c>
      <c r="D48" s="91">
        <f t="shared" si="5"/>
        <v>8650960</v>
      </c>
      <c r="E48" s="91">
        <f t="shared" si="6"/>
        <v>5894556.5499999998</v>
      </c>
      <c r="F48" s="80">
        <f>+D48+E48</f>
        <v>14545516.550000001</v>
      </c>
      <c r="G48" s="91"/>
      <c r="H48" s="91"/>
      <c r="I48" s="91"/>
      <c r="J48" s="91"/>
      <c r="K48" s="91"/>
    </row>
    <row r="49" spans="3:11" s="68" customFormat="1" ht="12" customHeight="1" x14ac:dyDescent="0.25">
      <c r="C49" s="76">
        <v>2031</v>
      </c>
      <c r="D49" s="91">
        <f t="shared" si="5"/>
        <v>8500000</v>
      </c>
      <c r="E49" s="91">
        <f t="shared" si="6"/>
        <v>5522906</v>
      </c>
      <c r="F49" s="80">
        <f t="shared" ref="F49:F54" si="8">+D49+E49</f>
        <v>14022906</v>
      </c>
      <c r="G49" s="91"/>
      <c r="H49" s="91"/>
      <c r="I49" s="91"/>
      <c r="J49" s="91"/>
      <c r="K49" s="91"/>
    </row>
    <row r="50" spans="3:11" s="68" customFormat="1" ht="12" customHeight="1" x14ac:dyDescent="0.25">
      <c r="C50" s="76">
        <v>2032</v>
      </c>
      <c r="D50" s="91">
        <f t="shared" si="5"/>
        <v>8230000</v>
      </c>
      <c r="E50" s="91">
        <f t="shared" si="6"/>
        <v>5159034.25</v>
      </c>
      <c r="F50" s="80">
        <f t="shared" si="8"/>
        <v>13389034.25</v>
      </c>
      <c r="G50" s="91"/>
      <c r="H50" s="91"/>
      <c r="I50" s="91"/>
      <c r="J50" s="91"/>
      <c r="K50" s="91"/>
    </row>
    <row r="51" spans="3:11" s="68" customFormat="1" ht="12" customHeight="1" x14ac:dyDescent="0.25">
      <c r="C51" s="76">
        <v>2033</v>
      </c>
      <c r="D51" s="91">
        <f t="shared" si="5"/>
        <v>8445000</v>
      </c>
      <c r="E51" s="91">
        <f t="shared" si="6"/>
        <v>4811251</v>
      </c>
      <c r="F51" s="80">
        <f t="shared" si="8"/>
        <v>13256251</v>
      </c>
      <c r="G51" s="91"/>
      <c r="H51" s="91"/>
      <c r="I51" s="91"/>
      <c r="J51" s="91"/>
      <c r="K51" s="91"/>
    </row>
    <row r="52" spans="3:11" s="68" customFormat="1" ht="12" customHeight="1" x14ac:dyDescent="0.25">
      <c r="C52" s="76">
        <v>2034</v>
      </c>
      <c r="D52" s="91">
        <f t="shared" si="5"/>
        <v>8625000</v>
      </c>
      <c r="E52" s="91">
        <f t="shared" si="6"/>
        <v>4469265.25</v>
      </c>
      <c r="F52" s="80">
        <f t="shared" si="8"/>
        <v>13094265.25</v>
      </c>
      <c r="G52" s="91"/>
      <c r="H52" s="91"/>
      <c r="I52" s="91"/>
      <c r="J52" s="91"/>
      <c r="K52" s="91"/>
    </row>
    <row r="53" spans="3:11" s="68" customFormat="1" ht="12" customHeight="1" x14ac:dyDescent="0.25">
      <c r="C53" s="76">
        <v>2035</v>
      </c>
      <c r="D53" s="91">
        <f t="shared" si="5"/>
        <v>8990000</v>
      </c>
      <c r="E53" s="91">
        <f t="shared" si="6"/>
        <v>4115450.75</v>
      </c>
      <c r="F53" s="80">
        <f t="shared" si="8"/>
        <v>13105450.75</v>
      </c>
      <c r="G53" s="91"/>
      <c r="H53" s="91"/>
      <c r="I53" s="91"/>
      <c r="J53" s="91"/>
      <c r="K53" s="91"/>
    </row>
    <row r="54" spans="3:11" s="68" customFormat="1" ht="12" customHeight="1" x14ac:dyDescent="0.25">
      <c r="C54" s="76">
        <v>2036</v>
      </c>
      <c r="D54" s="91">
        <f t="shared" si="5"/>
        <v>8770000</v>
      </c>
      <c r="E54" s="91">
        <f t="shared" si="6"/>
        <v>3759820</v>
      </c>
      <c r="F54" s="80">
        <f t="shared" si="8"/>
        <v>12529820</v>
      </c>
      <c r="G54" s="91"/>
      <c r="H54" s="91"/>
      <c r="I54" s="91"/>
      <c r="J54" s="91"/>
      <c r="K54" s="91"/>
    </row>
    <row r="55" spans="3:11" s="68" customFormat="1" ht="12" customHeight="1" x14ac:dyDescent="0.25">
      <c r="C55" s="76">
        <v>2037</v>
      </c>
      <c r="D55" s="91">
        <f t="shared" si="5"/>
        <v>8945000</v>
      </c>
      <c r="E55" s="91">
        <f t="shared" si="6"/>
        <v>3409189</v>
      </c>
      <c r="F55" s="80">
        <f t="shared" ref="F55" si="9">+D55+E55</f>
        <v>12354189</v>
      </c>
      <c r="G55" s="91"/>
      <c r="H55" s="91"/>
      <c r="I55" s="91"/>
      <c r="J55" s="91"/>
      <c r="K55" s="91"/>
    </row>
    <row r="56" spans="3:11" s="68" customFormat="1" ht="12" customHeight="1" x14ac:dyDescent="0.25">
      <c r="C56" s="76">
        <v>2038</v>
      </c>
      <c r="D56" s="91">
        <f t="shared" si="5"/>
        <v>8845000</v>
      </c>
      <c r="E56" s="91">
        <f t="shared" si="6"/>
        <v>3056359.5</v>
      </c>
      <c r="F56" s="91">
        <f t="shared" ref="F56" si="10">+D56+E56</f>
        <v>11901359.5</v>
      </c>
      <c r="G56" s="92"/>
      <c r="H56" s="91"/>
      <c r="I56" s="91"/>
      <c r="J56" s="91"/>
      <c r="K56" s="91"/>
    </row>
    <row r="57" spans="3:11" s="68" customFormat="1" ht="12" customHeight="1" x14ac:dyDescent="0.25">
      <c r="C57" s="76">
        <v>2039</v>
      </c>
      <c r="D57" s="91">
        <f t="shared" si="5"/>
        <v>8695000</v>
      </c>
      <c r="E57" s="91">
        <f t="shared" si="6"/>
        <v>2702722.75</v>
      </c>
      <c r="F57" s="91">
        <f t="shared" ref="F57" si="11">+D57+E57</f>
        <v>11397722.75</v>
      </c>
      <c r="G57" s="92"/>
      <c r="H57" s="91"/>
      <c r="I57" s="91"/>
      <c r="J57" s="91"/>
      <c r="K57" s="91"/>
    </row>
    <row r="58" spans="3:11" s="68" customFormat="1" ht="12" customHeight="1" x14ac:dyDescent="0.25">
      <c r="C58" s="76">
        <v>2040</v>
      </c>
      <c r="D58" s="91">
        <f t="shared" si="5"/>
        <v>8665000</v>
      </c>
      <c r="E58" s="91">
        <f t="shared" si="6"/>
        <v>2360922</v>
      </c>
      <c r="F58" s="91">
        <f t="shared" ref="F58:F59" si="12">+D58+E58</f>
        <v>11025922</v>
      </c>
      <c r="G58" s="92"/>
      <c r="H58" s="91"/>
      <c r="I58" s="91"/>
      <c r="J58" s="91"/>
      <c r="K58" s="91"/>
    </row>
    <row r="59" spans="3:11" s="68" customFormat="1" ht="12" customHeight="1" x14ac:dyDescent="0.25">
      <c r="C59" s="76">
        <v>2041</v>
      </c>
      <c r="D59" s="91">
        <f t="shared" si="5"/>
        <v>8265000</v>
      </c>
      <c r="E59" s="91">
        <f t="shared" si="6"/>
        <v>2034998.5</v>
      </c>
      <c r="F59" s="91">
        <f t="shared" si="12"/>
        <v>10299998.5</v>
      </c>
      <c r="G59" s="92"/>
      <c r="H59" s="91"/>
      <c r="I59" s="91"/>
      <c r="J59" s="91"/>
      <c r="K59" s="91"/>
    </row>
    <row r="60" spans="3:11" s="68" customFormat="1" ht="12" customHeight="1" x14ac:dyDescent="0.25">
      <c r="C60" s="76">
        <v>2042</v>
      </c>
      <c r="D60" s="91">
        <f t="shared" si="5"/>
        <v>6715000</v>
      </c>
      <c r="E60" s="91">
        <f t="shared" si="6"/>
        <v>1725421</v>
      </c>
      <c r="F60" s="91">
        <f t="shared" ref="F60:F72" si="13">+D60+E60</f>
        <v>8440421</v>
      </c>
      <c r="G60" s="92"/>
      <c r="H60" s="91"/>
      <c r="I60" s="91"/>
      <c r="J60" s="91"/>
      <c r="K60" s="91"/>
    </row>
    <row r="61" spans="3:11" s="68" customFormat="1" ht="12" customHeight="1" x14ac:dyDescent="0.25">
      <c r="C61" s="76">
        <v>2043</v>
      </c>
      <c r="D61" s="91">
        <f t="shared" si="5"/>
        <v>4975000</v>
      </c>
      <c r="E61" s="91">
        <f t="shared" si="6"/>
        <v>1463581.25</v>
      </c>
      <c r="F61" s="91">
        <f t="shared" si="13"/>
        <v>6438581.25</v>
      </c>
      <c r="G61" s="92"/>
      <c r="H61" s="91"/>
      <c r="I61" s="91"/>
      <c r="J61" s="91"/>
      <c r="K61" s="91"/>
    </row>
    <row r="62" spans="3:11" s="68" customFormat="1" ht="12" customHeight="1" x14ac:dyDescent="0.25">
      <c r="C62" s="76">
        <v>2044</v>
      </c>
      <c r="D62" s="91">
        <f t="shared" si="5"/>
        <v>2070000</v>
      </c>
      <c r="E62" s="91">
        <f t="shared" si="6"/>
        <v>1298725</v>
      </c>
      <c r="F62" s="91">
        <f t="shared" si="13"/>
        <v>3368725</v>
      </c>
      <c r="G62" s="92"/>
      <c r="H62" s="91"/>
      <c r="I62" s="91"/>
      <c r="J62" s="91"/>
      <c r="K62" s="91"/>
    </row>
    <row r="63" spans="3:11" s="68" customFormat="1" ht="12" customHeight="1" x14ac:dyDescent="0.25">
      <c r="C63" s="76">
        <v>2045</v>
      </c>
      <c r="D63" s="91">
        <f t="shared" si="5"/>
        <v>2175000</v>
      </c>
      <c r="E63" s="91">
        <f t="shared" si="6"/>
        <v>1192600</v>
      </c>
      <c r="F63" s="91">
        <f t="shared" si="13"/>
        <v>3367600</v>
      </c>
      <c r="G63" s="92"/>
      <c r="H63" s="91"/>
      <c r="I63" s="91"/>
      <c r="J63" s="91"/>
      <c r="K63" s="91"/>
    </row>
    <row r="64" spans="3:11" s="68" customFormat="1" ht="12" customHeight="1" x14ac:dyDescent="0.25">
      <c r="C64" s="76">
        <v>2046</v>
      </c>
      <c r="D64" s="91">
        <f t="shared" si="5"/>
        <v>2285000</v>
      </c>
      <c r="E64" s="91">
        <f t="shared" si="6"/>
        <v>1081100</v>
      </c>
      <c r="F64" s="91">
        <f t="shared" si="13"/>
        <v>3366100</v>
      </c>
      <c r="G64" s="92"/>
      <c r="H64" s="91"/>
      <c r="I64" s="91"/>
      <c r="J64" s="91"/>
      <c r="K64" s="91"/>
    </row>
    <row r="65" spans="3:11" s="68" customFormat="1" ht="12" customHeight="1" x14ac:dyDescent="0.25">
      <c r="C65" s="76">
        <v>2047</v>
      </c>
      <c r="D65" s="91">
        <f t="shared" si="5"/>
        <v>2405000</v>
      </c>
      <c r="E65" s="91">
        <f t="shared" si="6"/>
        <v>963850</v>
      </c>
      <c r="F65" s="91">
        <f t="shared" si="13"/>
        <v>3368850</v>
      </c>
      <c r="G65" s="92"/>
      <c r="H65" s="91"/>
      <c r="I65" s="91"/>
      <c r="J65" s="91"/>
      <c r="K65" s="91"/>
    </row>
    <row r="66" spans="3:11" s="68" customFormat="1" ht="12" customHeight="1" x14ac:dyDescent="0.25">
      <c r="C66" s="76">
        <v>2048</v>
      </c>
      <c r="D66" s="91">
        <f t="shared" si="5"/>
        <v>2525000</v>
      </c>
      <c r="E66" s="91">
        <f t="shared" si="6"/>
        <v>840600</v>
      </c>
      <c r="F66" s="91">
        <f t="shared" si="13"/>
        <v>3365600</v>
      </c>
      <c r="G66" s="92"/>
      <c r="H66" s="91"/>
      <c r="I66" s="91"/>
      <c r="J66" s="91"/>
      <c r="K66" s="91"/>
    </row>
    <row r="67" spans="3:11" s="68" customFormat="1" ht="12" customHeight="1" x14ac:dyDescent="0.25">
      <c r="C67" s="76">
        <v>2049</v>
      </c>
      <c r="D67" s="91">
        <f t="shared" si="5"/>
        <v>2655000</v>
      </c>
      <c r="E67" s="91">
        <f t="shared" si="6"/>
        <v>711100</v>
      </c>
      <c r="F67" s="91">
        <f t="shared" si="13"/>
        <v>3366100</v>
      </c>
      <c r="G67" s="92"/>
      <c r="H67" s="91"/>
      <c r="I67" s="91"/>
      <c r="J67" s="91"/>
      <c r="K67" s="91"/>
    </row>
    <row r="68" spans="3:11" s="68" customFormat="1" ht="12" customHeight="1" x14ac:dyDescent="0.25">
      <c r="C68" s="76">
        <v>2050</v>
      </c>
      <c r="D68" s="91">
        <f t="shared" si="5"/>
        <v>2780000</v>
      </c>
      <c r="E68" s="91">
        <f t="shared" si="6"/>
        <v>585650</v>
      </c>
      <c r="F68" s="91">
        <f t="shared" si="13"/>
        <v>3365650</v>
      </c>
      <c r="G68" s="92"/>
      <c r="H68" s="91"/>
      <c r="I68" s="91"/>
      <c r="J68" s="91"/>
      <c r="K68" s="91"/>
    </row>
    <row r="69" spans="3:11" s="68" customFormat="1" ht="12" customHeight="1" x14ac:dyDescent="0.25">
      <c r="C69" s="76">
        <v>2051</v>
      </c>
      <c r="D69" s="91">
        <f t="shared" si="5"/>
        <v>2905000</v>
      </c>
      <c r="E69" s="91">
        <f t="shared" si="6"/>
        <v>464843.75</v>
      </c>
      <c r="F69" s="91">
        <f t="shared" si="13"/>
        <v>3369843.75</v>
      </c>
      <c r="G69" s="92"/>
      <c r="H69" s="91"/>
      <c r="I69" s="91"/>
      <c r="J69" s="91"/>
      <c r="K69" s="91"/>
    </row>
    <row r="70" spans="3:11" s="68" customFormat="1" ht="12" customHeight="1" x14ac:dyDescent="0.25">
      <c r="C70" s="76">
        <v>2052</v>
      </c>
      <c r="D70" s="91">
        <f t="shared" si="5"/>
        <v>3030000</v>
      </c>
      <c r="E70" s="91">
        <f t="shared" si="6"/>
        <v>338725</v>
      </c>
      <c r="F70" s="91">
        <f t="shared" si="13"/>
        <v>3368725</v>
      </c>
      <c r="G70" s="92"/>
      <c r="H70" s="91"/>
      <c r="I70" s="91"/>
      <c r="J70" s="91"/>
      <c r="K70" s="91"/>
    </row>
    <row r="71" spans="3:11" s="68" customFormat="1" ht="12" customHeight="1" x14ac:dyDescent="0.25">
      <c r="C71" s="76">
        <v>2053</v>
      </c>
      <c r="D71" s="91">
        <f t="shared" si="5"/>
        <v>3160000</v>
      </c>
      <c r="E71" s="91">
        <f t="shared" si="6"/>
        <v>207187.5</v>
      </c>
      <c r="F71" s="91">
        <f t="shared" si="13"/>
        <v>3367187.5</v>
      </c>
      <c r="G71" s="92"/>
      <c r="H71" s="91"/>
      <c r="I71" s="91"/>
      <c r="J71" s="91"/>
      <c r="K71" s="91"/>
    </row>
    <row r="72" spans="3:11" s="68" customFormat="1" ht="12" customHeight="1" x14ac:dyDescent="0.25">
      <c r="C72" s="76">
        <v>2054</v>
      </c>
      <c r="D72" s="91">
        <f t="shared" si="5"/>
        <v>3295000</v>
      </c>
      <c r="E72" s="91">
        <f t="shared" si="6"/>
        <v>70018.75</v>
      </c>
      <c r="F72" s="91">
        <f t="shared" si="13"/>
        <v>3365018.75</v>
      </c>
      <c r="G72" s="92"/>
      <c r="H72" s="91"/>
      <c r="I72" s="91"/>
      <c r="J72" s="91"/>
      <c r="K72" s="91"/>
    </row>
    <row r="73" spans="3:11" s="68" customFormat="1" ht="12" customHeight="1" x14ac:dyDescent="0.25">
      <c r="C73" s="86" t="s">
        <v>4</v>
      </c>
      <c r="D73" s="87">
        <f>SUM(D43:D72)</f>
        <v>189590560</v>
      </c>
      <c r="E73" s="87">
        <f t="shared" ref="E73:F73" si="14">SUM(E43:E72)</f>
        <v>94020848.239999995</v>
      </c>
      <c r="F73" s="87">
        <f t="shared" si="14"/>
        <v>283611408.24000001</v>
      </c>
      <c r="G73" s="93"/>
      <c r="H73" s="91"/>
      <c r="I73" s="91"/>
      <c r="J73" s="91"/>
      <c r="K73" s="91"/>
    </row>
    <row r="74" spans="3:11" s="68" customFormat="1" ht="12" customHeight="1" x14ac:dyDescent="0.25"/>
    <row r="75" spans="3:11" s="68" customFormat="1" ht="12" customHeight="1" x14ac:dyDescent="0.25">
      <c r="D75" s="94"/>
      <c r="E75" s="91"/>
      <c r="F75" s="91"/>
    </row>
    <row r="76" spans="3:11" s="68" customFormat="1" ht="12" customHeight="1" x14ac:dyDescent="0.25">
      <c r="D76" s="94"/>
      <c r="E76" s="94"/>
      <c r="F76" s="94"/>
    </row>
    <row r="77" spans="3:11" s="68" customFormat="1" ht="12" customHeight="1" x14ac:dyDescent="0.25">
      <c r="D77" s="94"/>
      <c r="E77" s="94"/>
      <c r="F77" s="94"/>
    </row>
    <row r="78" spans="3:11" s="68" customFormat="1" ht="12" customHeight="1" x14ac:dyDescent="0.25"/>
    <row r="79" spans="3:11" s="68" customFormat="1" ht="12" customHeight="1" x14ac:dyDescent="0.25"/>
  </sheetData>
  <mergeCells count="6">
    <mergeCell ref="D40:F40"/>
    <mergeCell ref="A1:G1"/>
    <mergeCell ref="A2:G2"/>
    <mergeCell ref="A3:G3"/>
    <mergeCell ref="B5:D5"/>
    <mergeCell ref="E5:G5"/>
  </mergeCells>
  <printOptions horizontalCentered="1"/>
  <pageMargins left="0.5" right="0.5" top="0.75" bottom="0.5" header="0.5" footer="0.5"/>
  <pageSetup scale="81" firstPageNumber="0"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5"/>
  <sheetViews>
    <sheetView workbookViewId="0">
      <selection activeCell="H34" sqref="H34"/>
    </sheetView>
  </sheetViews>
  <sheetFormatPr defaultRowHeight="12.75" x14ac:dyDescent="0.2"/>
  <cols>
    <col min="1" max="4" width="25" style="12" customWidth="1"/>
    <col min="5" max="254" width="9.140625" style="1"/>
    <col min="255" max="259" width="18.5703125" style="1" customWidth="1"/>
    <col min="260" max="510" width="9.140625" style="1"/>
    <col min="511" max="515" width="18.5703125" style="1" customWidth="1"/>
    <col min="516" max="766" width="9.140625" style="1"/>
    <col min="767" max="771" width="18.5703125" style="1" customWidth="1"/>
    <col min="772" max="1022" width="9.140625" style="1"/>
    <col min="1023" max="1027" width="18.5703125" style="1" customWidth="1"/>
    <col min="1028" max="1278" width="9.140625" style="1"/>
    <col min="1279" max="1283" width="18.5703125" style="1" customWidth="1"/>
    <col min="1284" max="1534" width="9.140625" style="1"/>
    <col min="1535" max="1539" width="18.5703125" style="1" customWidth="1"/>
    <col min="1540" max="1790" width="9.140625" style="1"/>
    <col min="1791" max="1795" width="18.5703125" style="1" customWidth="1"/>
    <col min="1796" max="2046" width="9.140625" style="1"/>
    <col min="2047" max="2051" width="18.5703125" style="1" customWidth="1"/>
    <col min="2052" max="2302" width="9.140625" style="1"/>
    <col min="2303" max="2307" width="18.5703125" style="1" customWidth="1"/>
    <col min="2308" max="2558" width="9.140625" style="1"/>
    <col min="2559" max="2563" width="18.5703125" style="1" customWidth="1"/>
    <col min="2564" max="2814" width="9.140625" style="1"/>
    <col min="2815" max="2819" width="18.5703125" style="1" customWidth="1"/>
    <col min="2820" max="3070" width="9.140625" style="1"/>
    <col min="3071" max="3075" width="18.5703125" style="1" customWidth="1"/>
    <col min="3076" max="3326" width="9.140625" style="1"/>
    <col min="3327" max="3331" width="18.5703125" style="1" customWidth="1"/>
    <col min="3332" max="3582" width="9.140625" style="1"/>
    <col min="3583" max="3587" width="18.5703125" style="1" customWidth="1"/>
    <col min="3588" max="3838" width="9.140625" style="1"/>
    <col min="3839" max="3843" width="18.5703125" style="1" customWidth="1"/>
    <col min="3844" max="4094" width="9.140625" style="1"/>
    <col min="4095" max="4099" width="18.5703125" style="1" customWidth="1"/>
    <col min="4100" max="4350" width="9.140625" style="1"/>
    <col min="4351" max="4355" width="18.5703125" style="1" customWidth="1"/>
    <col min="4356" max="4606" width="9.140625" style="1"/>
    <col min="4607" max="4611" width="18.5703125" style="1" customWidth="1"/>
    <col min="4612" max="4862" width="9.140625" style="1"/>
    <col min="4863" max="4867" width="18.5703125" style="1" customWidth="1"/>
    <col min="4868" max="5118" width="9.140625" style="1"/>
    <col min="5119" max="5123" width="18.5703125" style="1" customWidth="1"/>
    <col min="5124" max="5374" width="9.140625" style="1"/>
    <col min="5375" max="5379" width="18.5703125" style="1" customWidth="1"/>
    <col min="5380" max="5630" width="9.140625" style="1"/>
    <col min="5631" max="5635" width="18.5703125" style="1" customWidth="1"/>
    <col min="5636" max="5886" width="9.140625" style="1"/>
    <col min="5887" max="5891" width="18.5703125" style="1" customWidth="1"/>
    <col min="5892" max="6142" width="9.140625" style="1"/>
    <col min="6143" max="6147" width="18.5703125" style="1" customWidth="1"/>
    <col min="6148" max="6398" width="9.140625" style="1"/>
    <col min="6399" max="6403" width="18.5703125" style="1" customWidth="1"/>
    <col min="6404" max="6654" width="9.140625" style="1"/>
    <col min="6655" max="6659" width="18.5703125" style="1" customWidth="1"/>
    <col min="6660" max="6910" width="9.140625" style="1"/>
    <col min="6911" max="6915" width="18.5703125" style="1" customWidth="1"/>
    <col min="6916" max="7166" width="9.140625" style="1"/>
    <col min="7167" max="7171" width="18.5703125" style="1" customWidth="1"/>
    <col min="7172" max="7422" width="9.140625" style="1"/>
    <col min="7423" max="7427" width="18.5703125" style="1" customWidth="1"/>
    <col min="7428" max="7678" width="9.140625" style="1"/>
    <col min="7679" max="7683" width="18.5703125" style="1" customWidth="1"/>
    <col min="7684" max="7934" width="9.140625" style="1"/>
    <col min="7935" max="7939" width="18.5703125" style="1" customWidth="1"/>
    <col min="7940" max="8190" width="9.140625" style="1"/>
    <col min="8191" max="8195" width="18.5703125" style="1" customWidth="1"/>
    <col min="8196" max="8446" width="9.140625" style="1"/>
    <col min="8447" max="8451" width="18.5703125" style="1" customWidth="1"/>
    <col min="8452" max="8702" width="9.140625" style="1"/>
    <col min="8703" max="8707" width="18.5703125" style="1" customWidth="1"/>
    <col min="8708" max="8958" width="9.140625" style="1"/>
    <col min="8959" max="8963" width="18.5703125" style="1" customWidth="1"/>
    <col min="8964" max="9214" width="9.140625" style="1"/>
    <col min="9215" max="9219" width="18.5703125" style="1" customWidth="1"/>
    <col min="9220" max="9470" width="9.140625" style="1"/>
    <col min="9471" max="9475" width="18.5703125" style="1" customWidth="1"/>
    <col min="9476" max="9726" width="9.140625" style="1"/>
    <col min="9727" max="9731" width="18.5703125" style="1" customWidth="1"/>
    <col min="9732" max="9982" width="9.140625" style="1"/>
    <col min="9983" max="9987" width="18.5703125" style="1" customWidth="1"/>
    <col min="9988" max="10238" width="9.140625" style="1"/>
    <col min="10239" max="10243" width="18.5703125" style="1" customWidth="1"/>
    <col min="10244" max="10494" width="9.140625" style="1"/>
    <col min="10495" max="10499" width="18.5703125" style="1" customWidth="1"/>
    <col min="10500" max="10750" width="9.140625" style="1"/>
    <col min="10751" max="10755" width="18.5703125" style="1" customWidth="1"/>
    <col min="10756" max="11006" width="9.140625" style="1"/>
    <col min="11007" max="11011" width="18.5703125" style="1" customWidth="1"/>
    <col min="11012" max="11262" width="9.140625" style="1"/>
    <col min="11263" max="11267" width="18.5703125" style="1" customWidth="1"/>
    <col min="11268" max="11518" width="9.140625" style="1"/>
    <col min="11519" max="11523" width="18.5703125" style="1" customWidth="1"/>
    <col min="11524" max="11774" width="9.140625" style="1"/>
    <col min="11775" max="11779" width="18.5703125" style="1" customWidth="1"/>
    <col min="11780" max="12030" width="9.140625" style="1"/>
    <col min="12031" max="12035" width="18.5703125" style="1" customWidth="1"/>
    <col min="12036" max="12286" width="9.140625" style="1"/>
    <col min="12287" max="12291" width="18.5703125" style="1" customWidth="1"/>
    <col min="12292" max="12542" width="9.140625" style="1"/>
    <col min="12543" max="12547" width="18.5703125" style="1" customWidth="1"/>
    <col min="12548" max="12798" width="9.140625" style="1"/>
    <col min="12799" max="12803" width="18.5703125" style="1" customWidth="1"/>
    <col min="12804" max="13054" width="9.140625" style="1"/>
    <col min="13055" max="13059" width="18.5703125" style="1" customWidth="1"/>
    <col min="13060" max="13310" width="9.140625" style="1"/>
    <col min="13311" max="13315" width="18.5703125" style="1" customWidth="1"/>
    <col min="13316" max="13566" width="9.140625" style="1"/>
    <col min="13567" max="13571" width="18.5703125" style="1" customWidth="1"/>
    <col min="13572" max="13822" width="9.140625" style="1"/>
    <col min="13823" max="13827" width="18.5703125" style="1" customWidth="1"/>
    <col min="13828" max="14078" width="9.140625" style="1"/>
    <col min="14079" max="14083" width="18.5703125" style="1" customWidth="1"/>
    <col min="14084" max="14334" width="9.140625" style="1"/>
    <col min="14335" max="14339" width="18.5703125" style="1" customWidth="1"/>
    <col min="14340" max="14590" width="9.140625" style="1"/>
    <col min="14591" max="14595" width="18.5703125" style="1" customWidth="1"/>
    <col min="14596" max="14846" width="9.140625" style="1"/>
    <col min="14847" max="14851" width="18.5703125" style="1" customWidth="1"/>
    <col min="14852" max="15102" width="9.140625" style="1"/>
    <col min="15103" max="15107" width="18.5703125" style="1" customWidth="1"/>
    <col min="15108" max="15358" width="9.140625" style="1"/>
    <col min="15359" max="15363" width="18.5703125" style="1" customWidth="1"/>
    <col min="15364" max="15614" width="9.140625" style="1"/>
    <col min="15615" max="15619" width="18.5703125" style="1" customWidth="1"/>
    <col min="15620" max="15870" width="9.140625" style="1"/>
    <col min="15871" max="15875" width="18.5703125" style="1" customWidth="1"/>
    <col min="15876" max="16126" width="9.140625" style="1"/>
    <col min="16127" max="16131" width="18.5703125" style="1" customWidth="1"/>
    <col min="16132" max="16384" width="9.140625" style="1"/>
  </cols>
  <sheetData>
    <row r="1" spans="1:4" ht="15" customHeight="1" x14ac:dyDescent="0.25">
      <c r="A1" s="100" t="s">
        <v>0</v>
      </c>
      <c r="B1" s="100"/>
      <c r="C1" s="100"/>
      <c r="D1" s="100"/>
    </row>
    <row r="2" spans="1:4" ht="15" customHeight="1" x14ac:dyDescent="0.25">
      <c r="A2" s="100" t="s">
        <v>154</v>
      </c>
      <c r="B2" s="100"/>
      <c r="C2" s="100"/>
      <c r="D2" s="100"/>
    </row>
    <row r="3" spans="1:4" ht="15" customHeight="1" x14ac:dyDescent="0.25">
      <c r="A3" s="101" t="s">
        <v>1</v>
      </c>
      <c r="B3" s="101"/>
      <c r="C3" s="101"/>
      <c r="D3" s="101"/>
    </row>
    <row r="4" spans="1:4" ht="15" customHeight="1" x14ac:dyDescent="0.25">
      <c r="A4" s="101" t="s">
        <v>13</v>
      </c>
      <c r="B4" s="101"/>
      <c r="C4" s="101"/>
      <c r="D4" s="101"/>
    </row>
    <row r="5" spans="1:4" ht="15" customHeight="1" x14ac:dyDescent="0.25">
      <c r="A5" s="101" t="s">
        <v>14</v>
      </c>
      <c r="B5" s="101"/>
      <c r="C5" s="101"/>
      <c r="D5" s="101"/>
    </row>
    <row r="6" spans="1:4" ht="15" customHeight="1" x14ac:dyDescent="0.2">
      <c r="A6" s="104" t="s">
        <v>15</v>
      </c>
      <c r="B6" s="104"/>
      <c r="C6" s="104"/>
      <c r="D6" s="104"/>
    </row>
    <row r="7" spans="1:4" ht="15" customHeight="1" x14ac:dyDescent="0.2">
      <c r="A7" s="104"/>
      <c r="B7" s="104"/>
      <c r="C7" s="104"/>
      <c r="D7" s="104"/>
    </row>
    <row r="8" spans="1:4" ht="15" customHeight="1" x14ac:dyDescent="0.2">
      <c r="A8" s="104"/>
      <c r="B8" s="104"/>
      <c r="C8" s="104"/>
      <c r="D8" s="104"/>
    </row>
    <row r="9" spans="1:4" ht="15" customHeight="1" x14ac:dyDescent="0.2">
      <c r="A9" s="103" t="s">
        <v>120</v>
      </c>
      <c r="B9" s="103"/>
      <c r="C9" s="103"/>
      <c r="D9" s="103"/>
    </row>
    <row r="10" spans="1:4" ht="9" customHeight="1" x14ac:dyDescent="0.25">
      <c r="A10" s="2"/>
      <c r="B10" s="2"/>
      <c r="C10" s="2"/>
      <c r="D10" s="2"/>
    </row>
    <row r="11" spans="1:4" ht="9" customHeight="1" x14ac:dyDescent="0.2">
      <c r="A11" s="99"/>
      <c r="B11" s="99"/>
      <c r="C11" s="99"/>
      <c r="D11" s="99"/>
    </row>
    <row r="12" spans="1:4" x14ac:dyDescent="0.2">
      <c r="A12" s="3" t="s">
        <v>43</v>
      </c>
      <c r="B12" s="20" t="s">
        <v>44</v>
      </c>
      <c r="C12" s="20" t="s">
        <v>45</v>
      </c>
      <c r="D12" s="20" t="s">
        <v>46</v>
      </c>
    </row>
    <row r="13" spans="1:4" ht="5.25" customHeight="1" x14ac:dyDescent="0.2"/>
    <row r="14" spans="1:4" s="5" customFormat="1" ht="12" x14ac:dyDescent="0.2">
      <c r="A14" s="4" t="s">
        <v>6</v>
      </c>
      <c r="B14" s="19">
        <v>450000</v>
      </c>
      <c r="C14" s="15">
        <v>76400</v>
      </c>
      <c r="D14" s="15">
        <f t="shared" ref="D14:D17" si="0">+B14+C14</f>
        <v>526400</v>
      </c>
    </row>
    <row r="15" spans="1:4" s="5" customFormat="1" ht="12" x14ac:dyDescent="0.2">
      <c r="A15" s="4" t="s">
        <v>7</v>
      </c>
      <c r="B15" s="19">
        <v>470000</v>
      </c>
      <c r="C15" s="15">
        <v>58400</v>
      </c>
      <c r="D15" s="15">
        <f t="shared" si="0"/>
        <v>528400</v>
      </c>
    </row>
    <row r="16" spans="1:4" s="5" customFormat="1" ht="12" x14ac:dyDescent="0.2">
      <c r="A16" s="4" t="s">
        <v>8</v>
      </c>
      <c r="B16" s="19">
        <v>485000</v>
      </c>
      <c r="C16" s="15">
        <v>39600</v>
      </c>
      <c r="D16" s="15">
        <f t="shared" si="0"/>
        <v>524600</v>
      </c>
    </row>
    <row r="17" spans="1:4" s="5" customFormat="1" ht="12" x14ac:dyDescent="0.2">
      <c r="A17" s="4" t="s">
        <v>9</v>
      </c>
      <c r="B17" s="19">
        <v>505000</v>
      </c>
      <c r="C17" s="15">
        <f>10100+10100</f>
        <v>20200</v>
      </c>
      <c r="D17" s="15">
        <f t="shared" si="0"/>
        <v>525200</v>
      </c>
    </row>
    <row r="18" spans="1:4" s="5" customFormat="1" ht="12" x14ac:dyDescent="0.2">
      <c r="A18" s="6" t="s">
        <v>4</v>
      </c>
      <c r="B18" s="18">
        <f>SUM(B13:B17)</f>
        <v>1910000</v>
      </c>
      <c r="C18" s="16">
        <f>SUM(C13:C17)</f>
        <v>194600</v>
      </c>
      <c r="D18" s="16">
        <f>SUM(D13:D17)</f>
        <v>2104600</v>
      </c>
    </row>
    <row r="19" spans="1:4" x14ac:dyDescent="0.2">
      <c r="A19" s="7"/>
      <c r="C19" s="9"/>
      <c r="D19" s="9"/>
    </row>
    <row r="20" spans="1:4" x14ac:dyDescent="0.2">
      <c r="A20" s="7"/>
      <c r="B20" s="9"/>
      <c r="C20" s="9"/>
      <c r="D20" s="9"/>
    </row>
    <row r="21" spans="1:4" x14ac:dyDescent="0.2">
      <c r="A21" s="7"/>
      <c r="B21" s="9"/>
      <c r="C21" s="9"/>
      <c r="D21" s="9"/>
    </row>
    <row r="22" spans="1:4" x14ac:dyDescent="0.2">
      <c r="A22" s="7"/>
      <c r="B22" s="9"/>
      <c r="C22" s="9"/>
      <c r="D22" s="9"/>
    </row>
    <row r="23" spans="1:4" x14ac:dyDescent="0.2">
      <c r="A23" s="7"/>
      <c r="B23" s="9"/>
      <c r="C23" s="9"/>
      <c r="D23" s="9"/>
    </row>
    <row r="24" spans="1:4" x14ac:dyDescent="0.2">
      <c r="A24" s="7"/>
      <c r="B24" s="9"/>
      <c r="C24" s="9"/>
      <c r="D24" s="9"/>
    </row>
    <row r="25" spans="1:4" x14ac:dyDescent="0.2">
      <c r="A25" s="7"/>
      <c r="B25" s="9"/>
      <c r="C25" s="9"/>
      <c r="D25" s="9"/>
    </row>
    <row r="26" spans="1:4" x14ac:dyDescent="0.2">
      <c r="A26" s="7"/>
      <c r="B26" s="17"/>
      <c r="C26" s="17"/>
      <c r="D26" s="17"/>
    </row>
    <row r="27" spans="1:4" x14ac:dyDescent="0.2">
      <c r="A27" s="7"/>
      <c r="B27" s="17"/>
      <c r="C27" s="17"/>
      <c r="D27" s="17"/>
    </row>
    <row r="28" spans="1:4" x14ac:dyDescent="0.2">
      <c r="A28" s="7"/>
      <c r="B28" s="17"/>
      <c r="C28" s="17"/>
      <c r="D28" s="17"/>
    </row>
    <row r="29" spans="1:4" x14ac:dyDescent="0.2">
      <c r="A29" s="7"/>
      <c r="B29" s="17"/>
      <c r="C29" s="17"/>
      <c r="D29" s="17"/>
    </row>
    <row r="30" spans="1:4" x14ac:dyDescent="0.2">
      <c r="A30" s="7"/>
      <c r="B30" s="17"/>
      <c r="C30" s="17"/>
      <c r="D30" s="17"/>
    </row>
    <row r="31" spans="1:4" x14ac:dyDescent="0.2">
      <c r="A31" s="7"/>
      <c r="B31" s="17"/>
      <c r="C31" s="17"/>
      <c r="D31" s="17"/>
    </row>
    <row r="32" spans="1:4" x14ac:dyDescent="0.2">
      <c r="A32" s="7"/>
      <c r="B32" s="17"/>
      <c r="C32" s="17"/>
      <c r="D32" s="17"/>
    </row>
    <row r="33" spans="1:4" x14ac:dyDescent="0.2">
      <c r="A33" s="7"/>
      <c r="B33" s="17"/>
      <c r="C33" s="17"/>
      <c r="D33" s="17"/>
    </row>
    <row r="34" spans="1:4" x14ac:dyDescent="0.2">
      <c r="A34" s="7"/>
      <c r="B34" s="17"/>
      <c r="C34" s="17"/>
      <c r="D34" s="17"/>
    </row>
    <row r="35" spans="1:4" x14ac:dyDescent="0.2">
      <c r="A35" s="7"/>
      <c r="B35" s="17"/>
      <c r="C35" s="17"/>
      <c r="D35" s="17"/>
    </row>
    <row r="36" spans="1:4" x14ac:dyDescent="0.2">
      <c r="B36" s="17"/>
      <c r="C36" s="17"/>
      <c r="D36" s="17"/>
    </row>
    <row r="37" spans="1:4" x14ac:dyDescent="0.2">
      <c r="B37" s="17"/>
      <c r="C37" s="17"/>
      <c r="D37" s="17"/>
    </row>
    <row r="38" spans="1:4" x14ac:dyDescent="0.2">
      <c r="B38" s="17"/>
      <c r="C38" s="17"/>
      <c r="D38" s="17"/>
    </row>
    <row r="39" spans="1:4" x14ac:dyDescent="0.2">
      <c r="B39" s="17"/>
      <c r="C39" s="17"/>
      <c r="D39" s="17"/>
    </row>
    <row r="40" spans="1:4" x14ac:dyDescent="0.2">
      <c r="B40" s="17"/>
      <c r="C40" s="17"/>
      <c r="D40" s="17"/>
    </row>
    <row r="41" spans="1:4" x14ac:dyDescent="0.2">
      <c r="B41" s="17"/>
      <c r="C41" s="17"/>
      <c r="D41" s="17"/>
    </row>
    <row r="42" spans="1:4" x14ac:dyDescent="0.2">
      <c r="B42" s="17"/>
      <c r="C42" s="17"/>
      <c r="D42" s="17"/>
    </row>
    <row r="43" spans="1:4" x14ac:dyDescent="0.2">
      <c r="B43" s="17"/>
      <c r="C43" s="17"/>
      <c r="D43" s="17"/>
    </row>
    <row r="44" spans="1:4" x14ac:dyDescent="0.2">
      <c r="B44" s="17"/>
      <c r="C44" s="17"/>
      <c r="D44" s="17"/>
    </row>
    <row r="45" spans="1:4" x14ac:dyDescent="0.2">
      <c r="B45" s="17"/>
      <c r="C45" s="17"/>
      <c r="D45" s="17"/>
    </row>
  </sheetData>
  <mergeCells count="8">
    <mergeCell ref="A11:D11"/>
    <mergeCell ref="A1:D1"/>
    <mergeCell ref="A2:D2"/>
    <mergeCell ref="A3:D3"/>
    <mergeCell ref="A4:D4"/>
    <mergeCell ref="A5:D5"/>
    <mergeCell ref="A6:D8"/>
    <mergeCell ref="A9:D9"/>
  </mergeCells>
  <pageMargins left="0.75" right="0.4" top="0.75" bottom="0.75" header="0.5" footer="0.5"/>
  <pageSetup scale="90" firstPageNumber="0"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2"/>
  <sheetViews>
    <sheetView workbookViewId="0">
      <selection activeCell="I30" sqref="I30"/>
    </sheetView>
  </sheetViews>
  <sheetFormatPr defaultRowHeight="12.75" x14ac:dyDescent="0.2"/>
  <cols>
    <col min="1" max="1" width="25" style="12" customWidth="1"/>
    <col min="2" max="3" width="13.85546875" style="12" hidden="1" customWidth="1"/>
    <col min="4" max="4" width="25" style="12" customWidth="1"/>
    <col min="5" max="6" width="13.140625" style="12" hidden="1" customWidth="1"/>
    <col min="7" max="8" width="25" style="12" customWidth="1"/>
    <col min="9" max="258" width="9.140625" style="1"/>
    <col min="259" max="263" width="18.5703125" style="1" customWidth="1"/>
    <col min="264" max="514" width="9.140625" style="1"/>
    <col min="515" max="519" width="18.5703125" style="1" customWidth="1"/>
    <col min="520" max="770" width="9.140625" style="1"/>
    <col min="771" max="775" width="18.5703125" style="1" customWidth="1"/>
    <col min="776" max="1026" width="9.140625" style="1"/>
    <col min="1027" max="1031" width="18.5703125" style="1" customWidth="1"/>
    <col min="1032" max="1282" width="9.140625" style="1"/>
    <col min="1283" max="1287" width="18.5703125" style="1" customWidth="1"/>
    <col min="1288" max="1538" width="9.140625" style="1"/>
    <col min="1539" max="1543" width="18.5703125" style="1" customWidth="1"/>
    <col min="1544" max="1794" width="9.140625" style="1"/>
    <col min="1795" max="1799" width="18.5703125" style="1" customWidth="1"/>
    <col min="1800" max="2050" width="9.140625" style="1"/>
    <col min="2051" max="2055" width="18.5703125" style="1" customWidth="1"/>
    <col min="2056" max="2306" width="9.140625" style="1"/>
    <col min="2307" max="2311" width="18.5703125" style="1" customWidth="1"/>
    <col min="2312" max="2562" width="9.140625" style="1"/>
    <col min="2563" max="2567" width="18.5703125" style="1" customWidth="1"/>
    <col min="2568" max="2818" width="9.140625" style="1"/>
    <col min="2819" max="2823" width="18.5703125" style="1" customWidth="1"/>
    <col min="2824" max="3074" width="9.140625" style="1"/>
    <col min="3075" max="3079" width="18.5703125" style="1" customWidth="1"/>
    <col min="3080" max="3330" width="9.140625" style="1"/>
    <col min="3331" max="3335" width="18.5703125" style="1" customWidth="1"/>
    <col min="3336" max="3586" width="9.140625" style="1"/>
    <col min="3587" max="3591" width="18.5703125" style="1" customWidth="1"/>
    <col min="3592" max="3842" width="9.140625" style="1"/>
    <col min="3843" max="3847" width="18.5703125" style="1" customWidth="1"/>
    <col min="3848" max="4098" width="9.140625" style="1"/>
    <col min="4099" max="4103" width="18.5703125" style="1" customWidth="1"/>
    <col min="4104" max="4354" width="9.140625" style="1"/>
    <col min="4355" max="4359" width="18.5703125" style="1" customWidth="1"/>
    <col min="4360" max="4610" width="9.140625" style="1"/>
    <col min="4611" max="4615" width="18.5703125" style="1" customWidth="1"/>
    <col min="4616" max="4866" width="9.140625" style="1"/>
    <col min="4867" max="4871" width="18.5703125" style="1" customWidth="1"/>
    <col min="4872" max="5122" width="9.140625" style="1"/>
    <col min="5123" max="5127" width="18.5703125" style="1" customWidth="1"/>
    <col min="5128" max="5378" width="9.140625" style="1"/>
    <col min="5379" max="5383" width="18.5703125" style="1" customWidth="1"/>
    <col min="5384" max="5634" width="9.140625" style="1"/>
    <col min="5635" max="5639" width="18.5703125" style="1" customWidth="1"/>
    <col min="5640" max="5890" width="9.140625" style="1"/>
    <col min="5891" max="5895" width="18.5703125" style="1" customWidth="1"/>
    <col min="5896" max="6146" width="9.140625" style="1"/>
    <col min="6147" max="6151" width="18.5703125" style="1" customWidth="1"/>
    <col min="6152" max="6402" width="9.140625" style="1"/>
    <col min="6403" max="6407" width="18.5703125" style="1" customWidth="1"/>
    <col min="6408" max="6658" width="9.140625" style="1"/>
    <col min="6659" max="6663" width="18.5703125" style="1" customWidth="1"/>
    <col min="6664" max="6914" width="9.140625" style="1"/>
    <col min="6915" max="6919" width="18.5703125" style="1" customWidth="1"/>
    <col min="6920" max="7170" width="9.140625" style="1"/>
    <col min="7171" max="7175" width="18.5703125" style="1" customWidth="1"/>
    <col min="7176" max="7426" width="9.140625" style="1"/>
    <col min="7427" max="7431" width="18.5703125" style="1" customWidth="1"/>
    <col min="7432" max="7682" width="9.140625" style="1"/>
    <col min="7683" max="7687" width="18.5703125" style="1" customWidth="1"/>
    <col min="7688" max="7938" width="9.140625" style="1"/>
    <col min="7939" max="7943" width="18.5703125" style="1" customWidth="1"/>
    <col min="7944" max="8194" width="9.140625" style="1"/>
    <col min="8195" max="8199" width="18.5703125" style="1" customWidth="1"/>
    <col min="8200" max="8450" width="9.140625" style="1"/>
    <col min="8451" max="8455" width="18.5703125" style="1" customWidth="1"/>
    <col min="8456" max="8706" width="9.140625" style="1"/>
    <col min="8707" max="8711" width="18.5703125" style="1" customWidth="1"/>
    <col min="8712" max="8962" width="9.140625" style="1"/>
    <col min="8963" max="8967" width="18.5703125" style="1" customWidth="1"/>
    <col min="8968" max="9218" width="9.140625" style="1"/>
    <col min="9219" max="9223" width="18.5703125" style="1" customWidth="1"/>
    <col min="9224" max="9474" width="9.140625" style="1"/>
    <col min="9475" max="9479" width="18.5703125" style="1" customWidth="1"/>
    <col min="9480" max="9730" width="9.140625" style="1"/>
    <col min="9731" max="9735" width="18.5703125" style="1" customWidth="1"/>
    <col min="9736" max="9986" width="9.140625" style="1"/>
    <col min="9987" max="9991" width="18.5703125" style="1" customWidth="1"/>
    <col min="9992" max="10242" width="9.140625" style="1"/>
    <col min="10243" max="10247" width="18.5703125" style="1" customWidth="1"/>
    <col min="10248" max="10498" width="9.140625" style="1"/>
    <col min="10499" max="10503" width="18.5703125" style="1" customWidth="1"/>
    <col min="10504" max="10754" width="9.140625" style="1"/>
    <col min="10755" max="10759" width="18.5703125" style="1" customWidth="1"/>
    <col min="10760" max="11010" width="9.140625" style="1"/>
    <col min="11011" max="11015" width="18.5703125" style="1" customWidth="1"/>
    <col min="11016" max="11266" width="9.140625" style="1"/>
    <col min="11267" max="11271" width="18.5703125" style="1" customWidth="1"/>
    <col min="11272" max="11522" width="9.140625" style="1"/>
    <col min="11523" max="11527" width="18.5703125" style="1" customWidth="1"/>
    <col min="11528" max="11778" width="9.140625" style="1"/>
    <col min="11779" max="11783" width="18.5703125" style="1" customWidth="1"/>
    <col min="11784" max="12034" width="9.140625" style="1"/>
    <col min="12035" max="12039" width="18.5703125" style="1" customWidth="1"/>
    <col min="12040" max="12290" width="9.140625" style="1"/>
    <col min="12291" max="12295" width="18.5703125" style="1" customWidth="1"/>
    <col min="12296" max="12546" width="9.140625" style="1"/>
    <col min="12547" max="12551" width="18.5703125" style="1" customWidth="1"/>
    <col min="12552" max="12802" width="9.140625" style="1"/>
    <col min="12803" max="12807" width="18.5703125" style="1" customWidth="1"/>
    <col min="12808" max="13058" width="9.140625" style="1"/>
    <col min="13059" max="13063" width="18.5703125" style="1" customWidth="1"/>
    <col min="13064" max="13314" width="9.140625" style="1"/>
    <col min="13315" max="13319" width="18.5703125" style="1" customWidth="1"/>
    <col min="13320" max="13570" width="9.140625" style="1"/>
    <col min="13571" max="13575" width="18.5703125" style="1" customWidth="1"/>
    <col min="13576" max="13826" width="9.140625" style="1"/>
    <col min="13827" max="13831" width="18.5703125" style="1" customWidth="1"/>
    <col min="13832" max="14082" width="9.140625" style="1"/>
    <col min="14083" max="14087" width="18.5703125" style="1" customWidth="1"/>
    <col min="14088" max="14338" width="9.140625" style="1"/>
    <col min="14339" max="14343" width="18.5703125" style="1" customWidth="1"/>
    <col min="14344" max="14594" width="9.140625" style="1"/>
    <col min="14595" max="14599" width="18.5703125" style="1" customWidth="1"/>
    <col min="14600" max="14850" width="9.140625" style="1"/>
    <col min="14851" max="14855" width="18.5703125" style="1" customWidth="1"/>
    <col min="14856" max="15106" width="9.140625" style="1"/>
    <col min="15107" max="15111" width="18.5703125" style="1" customWidth="1"/>
    <col min="15112" max="15362" width="9.140625" style="1"/>
    <col min="15363" max="15367" width="18.5703125" style="1" customWidth="1"/>
    <col min="15368" max="15618" width="9.140625" style="1"/>
    <col min="15619" max="15623" width="18.5703125" style="1" customWidth="1"/>
    <col min="15624" max="15874" width="9.140625" style="1"/>
    <col min="15875" max="15879" width="18.5703125" style="1" customWidth="1"/>
    <col min="15880" max="16130" width="9.140625" style="1"/>
    <col min="16131" max="16135" width="18.5703125" style="1" customWidth="1"/>
    <col min="16136" max="16384" width="9.140625" style="1"/>
  </cols>
  <sheetData>
    <row r="1" spans="1:8" ht="15" customHeight="1" x14ac:dyDescent="0.25">
      <c r="A1" s="100" t="s">
        <v>0</v>
      </c>
      <c r="B1" s="100"/>
      <c r="C1" s="100"/>
      <c r="D1" s="100"/>
      <c r="E1" s="100"/>
      <c r="F1" s="100"/>
      <c r="G1" s="100"/>
      <c r="H1" s="100"/>
    </row>
    <row r="2" spans="1:8" ht="15" customHeight="1" x14ac:dyDescent="0.25">
      <c r="A2" s="100" t="s">
        <v>154</v>
      </c>
      <c r="B2" s="100"/>
      <c r="C2" s="100"/>
      <c r="D2" s="100"/>
      <c r="E2" s="100"/>
      <c r="F2" s="100"/>
      <c r="G2" s="100"/>
      <c r="H2" s="100"/>
    </row>
    <row r="3" spans="1:8" ht="15" customHeight="1" x14ac:dyDescent="0.25">
      <c r="A3" s="101" t="s">
        <v>1</v>
      </c>
      <c r="B3" s="101"/>
      <c r="C3" s="101"/>
      <c r="D3" s="101"/>
      <c r="E3" s="101"/>
      <c r="F3" s="101"/>
      <c r="G3" s="101"/>
      <c r="H3" s="101"/>
    </row>
    <row r="4" spans="1:8" ht="15" customHeight="1" x14ac:dyDescent="0.25">
      <c r="A4" s="101" t="s">
        <v>69</v>
      </c>
      <c r="B4" s="101"/>
      <c r="C4" s="101"/>
      <c r="D4" s="101"/>
      <c r="E4" s="101"/>
      <c r="F4" s="101"/>
      <c r="G4" s="101"/>
      <c r="H4" s="101"/>
    </row>
    <row r="5" spans="1:8" ht="15" customHeight="1" x14ac:dyDescent="0.25">
      <c r="A5" s="101" t="s">
        <v>5</v>
      </c>
      <c r="B5" s="101"/>
      <c r="C5" s="101"/>
      <c r="D5" s="101"/>
      <c r="E5" s="101"/>
      <c r="F5" s="101"/>
      <c r="G5" s="101"/>
      <c r="H5" s="101"/>
    </row>
    <row r="6" spans="1:8" ht="15" customHeight="1" x14ac:dyDescent="0.2">
      <c r="A6" s="102" t="s">
        <v>88</v>
      </c>
      <c r="B6" s="102"/>
      <c r="C6" s="102"/>
      <c r="D6" s="102"/>
      <c r="E6" s="102"/>
      <c r="F6" s="102"/>
      <c r="G6" s="102"/>
      <c r="H6" s="102"/>
    </row>
    <row r="7" spans="1:8" ht="15" customHeight="1" x14ac:dyDescent="0.2">
      <c r="A7" s="102"/>
      <c r="B7" s="102"/>
      <c r="C7" s="102"/>
      <c r="D7" s="102"/>
      <c r="E7" s="102"/>
      <c r="F7" s="102"/>
      <c r="G7" s="102"/>
      <c r="H7" s="102"/>
    </row>
    <row r="8" spans="1:8" ht="15" customHeight="1" x14ac:dyDescent="0.2">
      <c r="A8" s="102"/>
      <c r="B8" s="102"/>
      <c r="C8" s="102"/>
      <c r="D8" s="102"/>
      <c r="E8" s="102"/>
      <c r="F8" s="102"/>
      <c r="G8" s="102"/>
      <c r="H8" s="102"/>
    </row>
    <row r="9" spans="1:8" ht="15" customHeight="1" x14ac:dyDescent="0.2">
      <c r="A9" s="103" t="s">
        <v>123</v>
      </c>
      <c r="B9" s="103"/>
      <c r="C9" s="103"/>
      <c r="D9" s="103"/>
      <c r="E9" s="103"/>
      <c r="F9" s="103"/>
      <c r="G9" s="103"/>
      <c r="H9" s="103"/>
    </row>
    <row r="10" spans="1:8" ht="9" customHeight="1" x14ac:dyDescent="0.25">
      <c r="A10" s="2"/>
      <c r="B10" s="2"/>
      <c r="C10" s="2"/>
      <c r="D10" s="2"/>
      <c r="E10" s="2"/>
      <c r="F10" s="2"/>
      <c r="G10" s="2"/>
      <c r="H10" s="2"/>
    </row>
    <row r="11" spans="1:8" ht="9" customHeight="1" x14ac:dyDescent="0.2">
      <c r="A11" s="99"/>
      <c r="B11" s="99"/>
      <c r="C11" s="99"/>
      <c r="D11" s="99"/>
      <c r="E11" s="99"/>
      <c r="F11" s="99"/>
      <c r="G11" s="99"/>
      <c r="H11" s="99"/>
    </row>
    <row r="12" spans="1:8" x14ac:dyDescent="0.2">
      <c r="A12" s="3" t="s">
        <v>43</v>
      </c>
      <c r="B12" s="40" t="s">
        <v>55</v>
      </c>
      <c r="C12" s="40" t="s">
        <v>137</v>
      </c>
      <c r="D12" s="20" t="s">
        <v>44</v>
      </c>
      <c r="E12" s="44" t="s">
        <v>55</v>
      </c>
      <c r="F12" s="44" t="s">
        <v>137</v>
      </c>
      <c r="G12" s="20" t="s">
        <v>45</v>
      </c>
      <c r="H12" s="20" t="s">
        <v>46</v>
      </c>
    </row>
    <row r="13" spans="1:8" ht="5.25" customHeight="1" x14ac:dyDescent="0.2">
      <c r="B13" s="41"/>
      <c r="C13" s="41"/>
      <c r="E13" s="41"/>
      <c r="F13" s="41"/>
    </row>
    <row r="14" spans="1:8" s="5" customFormat="1" ht="12" x14ac:dyDescent="0.2">
      <c r="A14" s="4" t="s">
        <v>6</v>
      </c>
      <c r="B14" s="42">
        <v>342000</v>
      </c>
      <c r="C14" s="42">
        <v>108000</v>
      </c>
      <c r="D14" s="15">
        <v>450000</v>
      </c>
      <c r="E14" s="42">
        <v>11970</v>
      </c>
      <c r="F14" s="42">
        <v>3780</v>
      </c>
      <c r="G14" s="15">
        <v>15750</v>
      </c>
      <c r="H14" s="15">
        <f>+D14+G14</f>
        <v>465750</v>
      </c>
    </row>
    <row r="15" spans="1:8" s="5" customFormat="1" ht="12" x14ac:dyDescent="0.2">
      <c r="A15" s="6" t="s">
        <v>4</v>
      </c>
      <c r="B15" s="43">
        <f t="shared" ref="B15:H15" si="0">SUM(B13:B14)</f>
        <v>342000</v>
      </c>
      <c r="C15" s="43">
        <f t="shared" si="0"/>
        <v>108000</v>
      </c>
      <c r="D15" s="16">
        <f t="shared" si="0"/>
        <v>450000</v>
      </c>
      <c r="E15" s="43">
        <f t="shared" si="0"/>
        <v>11970</v>
      </c>
      <c r="F15" s="43">
        <f t="shared" si="0"/>
        <v>3780</v>
      </c>
      <c r="G15" s="16">
        <f t="shared" si="0"/>
        <v>15750</v>
      </c>
      <c r="H15" s="16">
        <f t="shared" si="0"/>
        <v>465750</v>
      </c>
    </row>
    <row r="16" spans="1:8" x14ac:dyDescent="0.2">
      <c r="A16" s="7"/>
      <c r="B16" s="7"/>
      <c r="C16" s="7"/>
      <c r="G16" s="9"/>
      <c r="H16" s="9"/>
    </row>
    <row r="17" spans="1:8" x14ac:dyDescent="0.2">
      <c r="A17" s="7"/>
      <c r="B17" s="7"/>
      <c r="C17" s="7"/>
      <c r="D17" s="9"/>
      <c r="E17" s="9"/>
      <c r="F17" s="9"/>
      <c r="G17" s="9"/>
      <c r="H17" s="9"/>
    </row>
    <row r="18" spans="1:8" x14ac:dyDescent="0.2">
      <c r="A18" s="7"/>
      <c r="B18" s="7"/>
      <c r="C18" s="7"/>
      <c r="D18" s="9"/>
      <c r="E18" s="9"/>
      <c r="F18" s="9"/>
      <c r="G18" s="9"/>
      <c r="H18" s="9"/>
    </row>
    <row r="19" spans="1:8" x14ac:dyDescent="0.2">
      <c r="A19" s="7"/>
      <c r="B19" s="7"/>
      <c r="C19" s="7"/>
      <c r="D19" s="9"/>
      <c r="E19" s="9"/>
      <c r="F19" s="9"/>
      <c r="G19" s="9"/>
      <c r="H19" s="9"/>
    </row>
    <row r="20" spans="1:8" x14ac:dyDescent="0.2">
      <c r="A20" s="7"/>
      <c r="B20" s="7"/>
      <c r="C20" s="7"/>
      <c r="D20" s="9"/>
      <c r="E20" s="9"/>
      <c r="F20" s="9"/>
      <c r="G20" s="9"/>
      <c r="H20" s="9"/>
    </row>
    <row r="21" spans="1:8" x14ac:dyDescent="0.2">
      <c r="A21" s="7"/>
      <c r="B21" s="7"/>
      <c r="C21" s="7"/>
      <c r="D21" s="9"/>
      <c r="E21" s="9"/>
      <c r="F21" s="9"/>
      <c r="G21" s="9"/>
      <c r="H21" s="9"/>
    </row>
    <row r="22" spans="1:8" x14ac:dyDescent="0.2">
      <c r="A22" s="7"/>
      <c r="B22" s="7"/>
      <c r="C22" s="7"/>
      <c r="D22" s="9"/>
      <c r="E22" s="9"/>
      <c r="F22" s="9"/>
      <c r="G22" s="9"/>
      <c r="H22" s="9"/>
    </row>
    <row r="23" spans="1:8" x14ac:dyDescent="0.2">
      <c r="A23" s="7"/>
      <c r="B23" s="7"/>
      <c r="C23" s="7"/>
      <c r="D23" s="17"/>
      <c r="E23" s="17"/>
      <c r="F23" s="17"/>
      <c r="G23" s="17"/>
      <c r="H23" s="17"/>
    </row>
    <row r="24" spans="1:8" x14ac:dyDescent="0.2">
      <c r="A24" s="7"/>
      <c r="B24" s="7"/>
      <c r="C24" s="7"/>
      <c r="D24" s="17"/>
      <c r="E24" s="17"/>
      <c r="F24" s="17"/>
      <c r="G24" s="17"/>
      <c r="H24" s="17"/>
    </row>
    <row r="25" spans="1:8" x14ac:dyDescent="0.2">
      <c r="A25" s="7"/>
      <c r="B25" s="7"/>
      <c r="C25" s="7"/>
      <c r="D25" s="17"/>
      <c r="E25" s="17"/>
      <c r="F25" s="17"/>
      <c r="G25" s="17"/>
      <c r="H25" s="17"/>
    </row>
    <row r="26" spans="1:8" x14ac:dyDescent="0.2">
      <c r="A26" s="7"/>
      <c r="B26" s="7"/>
      <c r="C26" s="7"/>
      <c r="D26" s="17"/>
      <c r="E26" s="17"/>
      <c r="F26" s="17"/>
      <c r="G26" s="17"/>
      <c r="H26" s="17"/>
    </row>
    <row r="27" spans="1:8" x14ac:dyDescent="0.2">
      <c r="A27" s="7"/>
      <c r="B27" s="7"/>
      <c r="C27" s="7"/>
      <c r="D27" s="17"/>
      <c r="E27" s="17"/>
      <c r="F27" s="17"/>
      <c r="G27" s="17"/>
      <c r="H27" s="17"/>
    </row>
    <row r="28" spans="1:8" x14ac:dyDescent="0.2">
      <c r="A28" s="7"/>
      <c r="B28" s="7"/>
      <c r="C28" s="7"/>
      <c r="D28" s="17"/>
      <c r="E28" s="17"/>
      <c r="F28" s="17"/>
      <c r="G28" s="17"/>
      <c r="H28" s="17"/>
    </row>
    <row r="29" spans="1:8" x14ac:dyDescent="0.2">
      <c r="A29" s="7"/>
      <c r="B29" s="7"/>
      <c r="C29" s="7"/>
      <c r="D29" s="17"/>
      <c r="E29" s="17"/>
      <c r="F29" s="17"/>
      <c r="G29" s="17"/>
      <c r="H29" s="17"/>
    </row>
    <row r="30" spans="1:8" x14ac:dyDescent="0.2">
      <c r="A30" s="7"/>
      <c r="B30" s="7"/>
      <c r="C30" s="7"/>
      <c r="D30" s="17"/>
      <c r="E30" s="17"/>
      <c r="F30" s="17"/>
      <c r="G30" s="17"/>
      <c r="H30" s="17"/>
    </row>
    <row r="31" spans="1:8" x14ac:dyDescent="0.2">
      <c r="A31" s="7"/>
      <c r="B31" s="7"/>
      <c r="C31" s="7"/>
      <c r="D31" s="17"/>
      <c r="E31" s="17"/>
      <c r="F31" s="17"/>
      <c r="G31" s="17"/>
      <c r="H31" s="17"/>
    </row>
    <row r="32" spans="1:8" x14ac:dyDescent="0.2">
      <c r="A32" s="7"/>
      <c r="B32" s="7"/>
      <c r="C32" s="7"/>
      <c r="D32" s="17"/>
      <c r="E32" s="17"/>
      <c r="F32" s="17"/>
      <c r="G32" s="17"/>
      <c r="H32" s="17"/>
    </row>
    <row r="33" spans="4:8" x14ac:dyDescent="0.2">
      <c r="D33" s="17"/>
      <c r="E33" s="17"/>
      <c r="F33" s="17"/>
      <c r="G33" s="17"/>
      <c r="H33" s="17"/>
    </row>
    <row r="34" spans="4:8" x14ac:dyDescent="0.2">
      <c r="D34" s="17"/>
      <c r="E34" s="17"/>
      <c r="F34" s="17"/>
      <c r="G34" s="17"/>
      <c r="H34" s="17"/>
    </row>
    <row r="35" spans="4:8" x14ac:dyDescent="0.2">
      <c r="D35" s="17"/>
      <c r="E35" s="17"/>
      <c r="F35" s="17"/>
      <c r="G35" s="17"/>
      <c r="H35" s="17"/>
    </row>
    <row r="36" spans="4:8" x14ac:dyDescent="0.2">
      <c r="D36" s="17"/>
      <c r="E36" s="17"/>
      <c r="F36" s="17"/>
      <c r="G36" s="17"/>
      <c r="H36" s="17"/>
    </row>
    <row r="37" spans="4:8" x14ac:dyDescent="0.2">
      <c r="D37" s="17"/>
      <c r="E37" s="17"/>
      <c r="F37" s="17"/>
      <c r="G37" s="17"/>
      <c r="H37" s="17"/>
    </row>
    <row r="38" spans="4:8" x14ac:dyDescent="0.2">
      <c r="D38" s="17"/>
      <c r="E38" s="17"/>
      <c r="F38" s="17"/>
      <c r="G38" s="17"/>
      <c r="H38" s="17"/>
    </row>
    <row r="39" spans="4:8" x14ac:dyDescent="0.2">
      <c r="D39" s="17"/>
      <c r="E39" s="17"/>
      <c r="F39" s="17"/>
      <c r="G39" s="17"/>
      <c r="H39" s="17"/>
    </row>
    <row r="40" spans="4:8" x14ac:dyDescent="0.2">
      <c r="D40" s="17"/>
      <c r="E40" s="17"/>
      <c r="F40" s="17"/>
      <c r="G40" s="17"/>
      <c r="H40" s="17"/>
    </row>
    <row r="41" spans="4:8" x14ac:dyDescent="0.2">
      <c r="D41" s="17"/>
      <c r="E41" s="17"/>
      <c r="F41" s="17"/>
      <c r="G41" s="17"/>
      <c r="H41" s="17"/>
    </row>
    <row r="42" spans="4:8" x14ac:dyDescent="0.2">
      <c r="D42" s="17"/>
      <c r="E42" s="17"/>
      <c r="F42" s="17"/>
      <c r="G42" s="17"/>
      <c r="H42" s="17"/>
    </row>
  </sheetData>
  <mergeCells count="8">
    <mergeCell ref="A11:H11"/>
    <mergeCell ref="A1:H1"/>
    <mergeCell ref="A2:H2"/>
    <mergeCell ref="A3:H3"/>
    <mergeCell ref="A4:H4"/>
    <mergeCell ref="A5:H5"/>
    <mergeCell ref="A6:H8"/>
    <mergeCell ref="A9:H9"/>
  </mergeCells>
  <pageMargins left="0.75" right="0.4" top="0.75" bottom="0.75" header="0.5" footer="0.5"/>
  <pageSetup scale="90" firstPageNumber="0"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0"/>
  <sheetViews>
    <sheetView workbookViewId="0">
      <selection activeCell="H34" sqref="H34"/>
    </sheetView>
  </sheetViews>
  <sheetFormatPr defaultRowHeight="12.75" x14ac:dyDescent="0.2"/>
  <cols>
    <col min="1" max="4" width="25" style="12" customWidth="1"/>
    <col min="5" max="241" width="9.140625" style="1"/>
    <col min="242" max="246" width="18.5703125" style="1" customWidth="1"/>
    <col min="247" max="497" width="9.140625" style="1"/>
    <col min="498" max="502" width="18.5703125" style="1" customWidth="1"/>
    <col min="503" max="753" width="9.140625" style="1"/>
    <col min="754" max="758" width="18.5703125" style="1" customWidth="1"/>
    <col min="759" max="1009" width="9.140625" style="1"/>
    <col min="1010" max="1014" width="18.5703125" style="1" customWidth="1"/>
    <col min="1015" max="1265" width="9.140625" style="1"/>
    <col min="1266" max="1270" width="18.5703125" style="1" customWidth="1"/>
    <col min="1271" max="1521" width="9.140625" style="1"/>
    <col min="1522" max="1526" width="18.5703125" style="1" customWidth="1"/>
    <col min="1527" max="1777" width="9.140625" style="1"/>
    <col min="1778" max="1782" width="18.5703125" style="1" customWidth="1"/>
    <col min="1783" max="2033" width="9.140625" style="1"/>
    <col min="2034" max="2038" width="18.5703125" style="1" customWidth="1"/>
    <col min="2039" max="2289" width="9.140625" style="1"/>
    <col min="2290" max="2294" width="18.5703125" style="1" customWidth="1"/>
    <col min="2295" max="2545" width="9.140625" style="1"/>
    <col min="2546" max="2550" width="18.5703125" style="1" customWidth="1"/>
    <col min="2551" max="2801" width="9.140625" style="1"/>
    <col min="2802" max="2806" width="18.5703125" style="1" customWidth="1"/>
    <col min="2807" max="3057" width="9.140625" style="1"/>
    <col min="3058" max="3062" width="18.5703125" style="1" customWidth="1"/>
    <col min="3063" max="3313" width="9.140625" style="1"/>
    <col min="3314" max="3318" width="18.5703125" style="1" customWidth="1"/>
    <col min="3319" max="3569" width="9.140625" style="1"/>
    <col min="3570" max="3574" width="18.5703125" style="1" customWidth="1"/>
    <col min="3575" max="3825" width="9.140625" style="1"/>
    <col min="3826" max="3830" width="18.5703125" style="1" customWidth="1"/>
    <col min="3831" max="4081" width="9.140625" style="1"/>
    <col min="4082" max="4086" width="18.5703125" style="1" customWidth="1"/>
    <col min="4087" max="4337" width="9.140625" style="1"/>
    <col min="4338" max="4342" width="18.5703125" style="1" customWidth="1"/>
    <col min="4343" max="4593" width="9.140625" style="1"/>
    <col min="4594" max="4598" width="18.5703125" style="1" customWidth="1"/>
    <col min="4599" max="4849" width="9.140625" style="1"/>
    <col min="4850" max="4854" width="18.5703125" style="1" customWidth="1"/>
    <col min="4855" max="5105" width="9.140625" style="1"/>
    <col min="5106" max="5110" width="18.5703125" style="1" customWidth="1"/>
    <col min="5111" max="5361" width="9.140625" style="1"/>
    <col min="5362" max="5366" width="18.5703125" style="1" customWidth="1"/>
    <col min="5367" max="5617" width="9.140625" style="1"/>
    <col min="5618" max="5622" width="18.5703125" style="1" customWidth="1"/>
    <col min="5623" max="5873" width="9.140625" style="1"/>
    <col min="5874" max="5878" width="18.5703125" style="1" customWidth="1"/>
    <col min="5879" max="6129" width="9.140625" style="1"/>
    <col min="6130" max="6134" width="18.5703125" style="1" customWidth="1"/>
    <col min="6135" max="6385" width="9.140625" style="1"/>
    <col min="6386" max="6390" width="18.5703125" style="1" customWidth="1"/>
    <col min="6391" max="6641" width="9.140625" style="1"/>
    <col min="6642" max="6646" width="18.5703125" style="1" customWidth="1"/>
    <col min="6647" max="6897" width="9.140625" style="1"/>
    <col min="6898" max="6902" width="18.5703125" style="1" customWidth="1"/>
    <col min="6903" max="7153" width="9.140625" style="1"/>
    <col min="7154" max="7158" width="18.5703125" style="1" customWidth="1"/>
    <col min="7159" max="7409" width="9.140625" style="1"/>
    <col min="7410" max="7414" width="18.5703125" style="1" customWidth="1"/>
    <col min="7415" max="7665" width="9.140625" style="1"/>
    <col min="7666" max="7670" width="18.5703125" style="1" customWidth="1"/>
    <col min="7671" max="7921" width="9.140625" style="1"/>
    <col min="7922" max="7926" width="18.5703125" style="1" customWidth="1"/>
    <col min="7927" max="8177" width="9.140625" style="1"/>
    <col min="8178" max="8182" width="18.5703125" style="1" customWidth="1"/>
    <col min="8183" max="8433" width="9.140625" style="1"/>
    <col min="8434" max="8438" width="18.5703125" style="1" customWidth="1"/>
    <col min="8439" max="8689" width="9.140625" style="1"/>
    <col min="8690" max="8694" width="18.5703125" style="1" customWidth="1"/>
    <col min="8695" max="8945" width="9.140625" style="1"/>
    <col min="8946" max="8950" width="18.5703125" style="1" customWidth="1"/>
    <col min="8951" max="9201" width="9.140625" style="1"/>
    <col min="9202" max="9206" width="18.5703125" style="1" customWidth="1"/>
    <col min="9207" max="9457" width="9.140625" style="1"/>
    <col min="9458" max="9462" width="18.5703125" style="1" customWidth="1"/>
    <col min="9463" max="9713" width="9.140625" style="1"/>
    <col min="9714" max="9718" width="18.5703125" style="1" customWidth="1"/>
    <col min="9719" max="9969" width="9.140625" style="1"/>
    <col min="9970" max="9974" width="18.5703125" style="1" customWidth="1"/>
    <col min="9975" max="10225" width="9.140625" style="1"/>
    <col min="10226" max="10230" width="18.5703125" style="1" customWidth="1"/>
    <col min="10231" max="10481" width="9.140625" style="1"/>
    <col min="10482" max="10486" width="18.5703125" style="1" customWidth="1"/>
    <col min="10487" max="10737" width="9.140625" style="1"/>
    <col min="10738" max="10742" width="18.5703125" style="1" customWidth="1"/>
    <col min="10743" max="10993" width="9.140625" style="1"/>
    <col min="10994" max="10998" width="18.5703125" style="1" customWidth="1"/>
    <col min="10999" max="11249" width="9.140625" style="1"/>
    <col min="11250" max="11254" width="18.5703125" style="1" customWidth="1"/>
    <col min="11255" max="11505" width="9.140625" style="1"/>
    <col min="11506" max="11510" width="18.5703125" style="1" customWidth="1"/>
    <col min="11511" max="11761" width="9.140625" style="1"/>
    <col min="11762" max="11766" width="18.5703125" style="1" customWidth="1"/>
    <col min="11767" max="12017" width="9.140625" style="1"/>
    <col min="12018" max="12022" width="18.5703125" style="1" customWidth="1"/>
    <col min="12023" max="12273" width="9.140625" style="1"/>
    <col min="12274" max="12278" width="18.5703125" style="1" customWidth="1"/>
    <col min="12279" max="12529" width="9.140625" style="1"/>
    <col min="12530" max="12534" width="18.5703125" style="1" customWidth="1"/>
    <col min="12535" max="12785" width="9.140625" style="1"/>
    <col min="12786" max="12790" width="18.5703125" style="1" customWidth="1"/>
    <col min="12791" max="13041" width="9.140625" style="1"/>
    <col min="13042" max="13046" width="18.5703125" style="1" customWidth="1"/>
    <col min="13047" max="13297" width="9.140625" style="1"/>
    <col min="13298" max="13302" width="18.5703125" style="1" customWidth="1"/>
    <col min="13303" max="13553" width="9.140625" style="1"/>
    <col min="13554" max="13558" width="18.5703125" style="1" customWidth="1"/>
    <col min="13559" max="13809" width="9.140625" style="1"/>
    <col min="13810" max="13814" width="18.5703125" style="1" customWidth="1"/>
    <col min="13815" max="14065" width="9.140625" style="1"/>
    <col min="14066" max="14070" width="18.5703125" style="1" customWidth="1"/>
    <col min="14071" max="14321" width="9.140625" style="1"/>
    <col min="14322" max="14326" width="18.5703125" style="1" customWidth="1"/>
    <col min="14327" max="14577" width="9.140625" style="1"/>
    <col min="14578" max="14582" width="18.5703125" style="1" customWidth="1"/>
    <col min="14583" max="14833" width="9.140625" style="1"/>
    <col min="14834" max="14838" width="18.5703125" style="1" customWidth="1"/>
    <col min="14839" max="15089" width="9.140625" style="1"/>
    <col min="15090" max="15094" width="18.5703125" style="1" customWidth="1"/>
    <col min="15095" max="15345" width="9.140625" style="1"/>
    <col min="15346" max="15350" width="18.5703125" style="1" customWidth="1"/>
    <col min="15351" max="15601" width="9.140625" style="1"/>
    <col min="15602" max="15606" width="18.5703125" style="1" customWidth="1"/>
    <col min="15607" max="15857" width="9.140625" style="1"/>
    <col min="15858" max="15862" width="18.5703125" style="1" customWidth="1"/>
    <col min="15863" max="16113" width="9.140625" style="1"/>
    <col min="16114" max="16118" width="18.5703125" style="1" customWidth="1"/>
    <col min="16119" max="16384" width="9.140625" style="1"/>
  </cols>
  <sheetData>
    <row r="1" spans="1:8" ht="15" customHeight="1" x14ac:dyDescent="0.25">
      <c r="A1" s="100" t="s">
        <v>0</v>
      </c>
      <c r="B1" s="100"/>
      <c r="C1" s="100"/>
      <c r="D1" s="100"/>
    </row>
    <row r="2" spans="1:8" ht="15" customHeight="1" x14ac:dyDescent="0.25">
      <c r="A2" s="100" t="s">
        <v>154</v>
      </c>
      <c r="B2" s="100"/>
      <c r="C2" s="100"/>
      <c r="D2" s="100"/>
      <c r="E2" s="45"/>
      <c r="F2" s="45"/>
      <c r="G2" s="45"/>
      <c r="H2" s="45"/>
    </row>
    <row r="3" spans="1:8" ht="15" customHeight="1" x14ac:dyDescent="0.25">
      <c r="A3" s="101" t="s">
        <v>1</v>
      </c>
      <c r="B3" s="101"/>
      <c r="C3" s="101"/>
      <c r="D3" s="101"/>
    </row>
    <row r="4" spans="1:8" ht="15" customHeight="1" x14ac:dyDescent="0.25">
      <c r="A4" s="101" t="s">
        <v>70</v>
      </c>
      <c r="B4" s="101"/>
      <c r="C4" s="101"/>
      <c r="D4" s="101"/>
    </row>
    <row r="5" spans="1:8" ht="15" customHeight="1" x14ac:dyDescent="0.25">
      <c r="A5" s="101" t="s">
        <v>16</v>
      </c>
      <c r="B5" s="101"/>
      <c r="C5" s="101"/>
      <c r="D5" s="101"/>
    </row>
    <row r="6" spans="1:8" ht="15" customHeight="1" x14ac:dyDescent="0.2">
      <c r="A6" s="104" t="s">
        <v>17</v>
      </c>
      <c r="B6" s="104"/>
      <c r="C6" s="104"/>
      <c r="D6" s="104"/>
    </row>
    <row r="7" spans="1:8" ht="15" customHeight="1" x14ac:dyDescent="0.2">
      <c r="A7" s="104"/>
      <c r="B7" s="104"/>
      <c r="C7" s="104"/>
      <c r="D7" s="104"/>
    </row>
    <row r="8" spans="1:8" ht="15" customHeight="1" x14ac:dyDescent="0.2">
      <c r="A8" s="104"/>
      <c r="B8" s="104"/>
      <c r="C8" s="104"/>
      <c r="D8" s="104"/>
    </row>
    <row r="9" spans="1:8" ht="15" customHeight="1" x14ac:dyDescent="0.2">
      <c r="A9" s="103" t="s">
        <v>121</v>
      </c>
      <c r="B9" s="103"/>
      <c r="C9" s="103"/>
      <c r="D9" s="103"/>
    </row>
    <row r="10" spans="1:8" ht="9" customHeight="1" x14ac:dyDescent="0.25">
      <c r="A10" s="2"/>
      <c r="B10" s="2"/>
      <c r="C10" s="2"/>
      <c r="D10" s="2"/>
    </row>
    <row r="11" spans="1:8" ht="9" customHeight="1" x14ac:dyDescent="0.2">
      <c r="A11" s="99"/>
      <c r="B11" s="99"/>
      <c r="C11" s="99"/>
      <c r="D11" s="99"/>
    </row>
    <row r="12" spans="1:8" x14ac:dyDescent="0.2">
      <c r="A12" s="3" t="s">
        <v>43</v>
      </c>
      <c r="B12" s="20" t="s">
        <v>44</v>
      </c>
      <c r="C12" s="20" t="s">
        <v>45</v>
      </c>
      <c r="D12" s="20" t="s">
        <v>46</v>
      </c>
    </row>
    <row r="13" spans="1:8" ht="5.25" customHeight="1" x14ac:dyDescent="0.2">
      <c r="B13" s="21"/>
      <c r="C13" s="21"/>
      <c r="D13" s="21"/>
    </row>
    <row r="14" spans="1:8" s="5" customFormat="1" ht="11.25" customHeight="1" x14ac:dyDescent="0.2">
      <c r="A14" s="4" t="s">
        <v>6</v>
      </c>
      <c r="B14" s="15">
        <v>115000</v>
      </c>
      <c r="C14" s="15">
        <f>19225+17212.5</f>
        <v>36437.5</v>
      </c>
      <c r="D14" s="15">
        <f t="shared" ref="D14:D22" si="0">+B14+C14</f>
        <v>151437.5</v>
      </c>
    </row>
    <row r="15" spans="1:8" s="5" customFormat="1" ht="11.25" customHeight="1" x14ac:dyDescent="0.2">
      <c r="A15" s="4" t="s">
        <v>7</v>
      </c>
      <c r="B15" s="15">
        <v>120000</v>
      </c>
      <c r="C15" s="15">
        <f>17212.5+15112.5</f>
        <v>32325</v>
      </c>
      <c r="D15" s="15">
        <f t="shared" si="0"/>
        <v>152325</v>
      </c>
    </row>
    <row r="16" spans="1:8" s="5" customFormat="1" ht="11.25" customHeight="1" x14ac:dyDescent="0.2">
      <c r="A16" s="4" t="s">
        <v>8</v>
      </c>
      <c r="B16" s="15">
        <v>120000</v>
      </c>
      <c r="C16" s="15">
        <f>15112.5+13012.5</f>
        <v>28125</v>
      </c>
      <c r="D16" s="15">
        <f t="shared" si="0"/>
        <v>148125</v>
      </c>
    </row>
    <row r="17" spans="1:4" s="5" customFormat="1" ht="11.25" customHeight="1" x14ac:dyDescent="0.2">
      <c r="A17" s="4" t="s">
        <v>9</v>
      </c>
      <c r="B17" s="15">
        <v>125000</v>
      </c>
      <c r="C17" s="15">
        <f>13012.5+10825</f>
        <v>23837.5</v>
      </c>
      <c r="D17" s="15">
        <f t="shared" si="0"/>
        <v>148837.5</v>
      </c>
    </row>
    <row r="18" spans="1:4" s="5" customFormat="1" ht="11.25" customHeight="1" x14ac:dyDescent="0.2">
      <c r="A18" s="4" t="s">
        <v>12</v>
      </c>
      <c r="B18" s="15">
        <v>130000</v>
      </c>
      <c r="C18" s="15">
        <f>10825+8550</f>
        <v>19375</v>
      </c>
      <c r="D18" s="15">
        <f t="shared" si="0"/>
        <v>149375</v>
      </c>
    </row>
    <row r="19" spans="1:4" s="5" customFormat="1" ht="11.25" customHeight="1" x14ac:dyDescent="0.2">
      <c r="A19" s="4" t="s">
        <v>18</v>
      </c>
      <c r="B19" s="15">
        <v>135000</v>
      </c>
      <c r="C19" s="15">
        <f>8550+6525</f>
        <v>15075</v>
      </c>
      <c r="D19" s="15">
        <f t="shared" si="0"/>
        <v>150075</v>
      </c>
    </row>
    <row r="20" spans="1:4" s="5" customFormat="1" ht="11.25" customHeight="1" x14ac:dyDescent="0.2">
      <c r="A20" s="4" t="s">
        <v>19</v>
      </c>
      <c r="B20" s="15">
        <v>140000</v>
      </c>
      <c r="C20" s="15">
        <f>6525+4425</f>
        <v>10950</v>
      </c>
      <c r="D20" s="15">
        <f t="shared" si="0"/>
        <v>150950</v>
      </c>
    </row>
    <row r="21" spans="1:4" s="5" customFormat="1" ht="11.25" customHeight="1" x14ac:dyDescent="0.2">
      <c r="A21" s="4" t="s">
        <v>20</v>
      </c>
      <c r="B21" s="15">
        <v>145000</v>
      </c>
      <c r="C21" s="15">
        <f>4425+2250</f>
        <v>6675</v>
      </c>
      <c r="D21" s="15">
        <f t="shared" si="0"/>
        <v>151675</v>
      </c>
    </row>
    <row r="22" spans="1:4" s="5" customFormat="1" ht="11.25" customHeight="1" x14ac:dyDescent="0.2">
      <c r="A22" s="4" t="s">
        <v>21</v>
      </c>
      <c r="B22" s="15">
        <v>150000</v>
      </c>
      <c r="C22" s="15">
        <v>2250</v>
      </c>
      <c r="D22" s="15">
        <f t="shared" si="0"/>
        <v>152250</v>
      </c>
    </row>
    <row r="23" spans="1:4" s="5" customFormat="1" ht="11.25" customHeight="1" x14ac:dyDescent="0.2">
      <c r="A23" s="6" t="s">
        <v>4</v>
      </c>
      <c r="B23" s="16">
        <f>SUM(B13:B22)</f>
        <v>1180000</v>
      </c>
      <c r="C23" s="16">
        <f>SUM(C13:C22)</f>
        <v>175050</v>
      </c>
      <c r="D23" s="16">
        <f>SUM(D13:D22)</f>
        <v>1355050</v>
      </c>
    </row>
    <row r="24" spans="1:4" ht="11.25" customHeight="1" x14ac:dyDescent="0.2">
      <c r="A24" s="7"/>
      <c r="C24" s="9"/>
      <c r="D24" s="9"/>
    </row>
    <row r="25" spans="1:4" ht="11.25" customHeight="1" x14ac:dyDescent="0.2">
      <c r="A25" s="7"/>
      <c r="B25" s="9"/>
      <c r="C25" s="9"/>
      <c r="D25" s="9"/>
    </row>
    <row r="26" spans="1:4" ht="11.25" customHeight="1" x14ac:dyDescent="0.2">
      <c r="A26" s="7"/>
      <c r="B26" s="9"/>
      <c r="C26" s="9"/>
      <c r="D26" s="9"/>
    </row>
    <row r="27" spans="1:4" ht="11.25" customHeight="1" x14ac:dyDescent="0.2">
      <c r="A27" s="7"/>
      <c r="B27" s="9"/>
      <c r="C27" s="9"/>
      <c r="D27" s="9"/>
    </row>
    <row r="28" spans="1:4" ht="11.25" customHeight="1" x14ac:dyDescent="0.2">
      <c r="A28" s="7"/>
      <c r="B28" s="9"/>
      <c r="C28" s="9"/>
      <c r="D28" s="9"/>
    </row>
    <row r="29" spans="1:4" ht="11.25" customHeight="1" x14ac:dyDescent="0.2">
      <c r="A29" s="7"/>
      <c r="B29" s="9"/>
      <c r="C29" s="9"/>
      <c r="D29" s="9"/>
    </row>
    <row r="30" spans="1:4" ht="11.25" customHeight="1" x14ac:dyDescent="0.2">
      <c r="A30" s="7"/>
      <c r="B30" s="9"/>
      <c r="C30" s="9"/>
      <c r="D30" s="9"/>
    </row>
    <row r="31" spans="1:4" x14ac:dyDescent="0.2">
      <c r="A31" s="7"/>
      <c r="B31" s="17"/>
      <c r="C31" s="17"/>
      <c r="D31" s="17"/>
    </row>
    <row r="32" spans="1:4" x14ac:dyDescent="0.2">
      <c r="A32" s="7"/>
      <c r="B32" s="17"/>
      <c r="C32" s="17"/>
      <c r="D32" s="17"/>
    </row>
    <row r="33" spans="1:4" x14ac:dyDescent="0.2">
      <c r="A33" s="7"/>
      <c r="B33" s="17"/>
      <c r="C33" s="17"/>
      <c r="D33" s="17"/>
    </row>
    <row r="34" spans="1:4" x14ac:dyDescent="0.2">
      <c r="A34" s="7"/>
      <c r="B34" s="17"/>
      <c r="C34" s="17"/>
      <c r="D34" s="17"/>
    </row>
    <row r="35" spans="1:4" x14ac:dyDescent="0.2">
      <c r="A35" s="7"/>
      <c r="B35" s="17"/>
      <c r="C35" s="17"/>
      <c r="D35" s="17"/>
    </row>
    <row r="36" spans="1:4" x14ac:dyDescent="0.2">
      <c r="A36" s="7"/>
      <c r="B36" s="17"/>
      <c r="C36" s="17"/>
      <c r="D36" s="17"/>
    </row>
    <row r="37" spans="1:4" x14ac:dyDescent="0.2">
      <c r="A37" s="7"/>
      <c r="B37" s="17"/>
      <c r="C37" s="17"/>
      <c r="D37" s="17"/>
    </row>
    <row r="38" spans="1:4" x14ac:dyDescent="0.2">
      <c r="A38" s="7"/>
      <c r="B38" s="17"/>
      <c r="C38" s="17"/>
      <c r="D38" s="17"/>
    </row>
    <row r="39" spans="1:4" x14ac:dyDescent="0.2">
      <c r="A39" s="7"/>
      <c r="B39" s="17"/>
      <c r="C39" s="17"/>
      <c r="D39" s="17"/>
    </row>
    <row r="40" spans="1:4" x14ac:dyDescent="0.2">
      <c r="A40" s="7"/>
      <c r="B40" s="17"/>
      <c r="C40" s="17"/>
      <c r="D40" s="17"/>
    </row>
    <row r="41" spans="1:4" x14ac:dyDescent="0.2">
      <c r="B41" s="17"/>
      <c r="C41" s="17"/>
      <c r="D41" s="17"/>
    </row>
    <row r="42" spans="1:4" x14ac:dyDescent="0.2">
      <c r="B42" s="17"/>
      <c r="C42" s="17"/>
      <c r="D42" s="17"/>
    </row>
    <row r="43" spans="1:4" x14ac:dyDescent="0.2">
      <c r="B43" s="17"/>
      <c r="C43" s="17"/>
      <c r="D43" s="17"/>
    </row>
    <row r="44" spans="1:4" x14ac:dyDescent="0.2">
      <c r="B44" s="17"/>
      <c r="C44" s="17"/>
      <c r="D44" s="17"/>
    </row>
    <row r="45" spans="1:4" x14ac:dyDescent="0.2">
      <c r="B45" s="17"/>
      <c r="C45" s="17"/>
      <c r="D45" s="17"/>
    </row>
    <row r="46" spans="1:4" x14ac:dyDescent="0.2">
      <c r="B46" s="17"/>
      <c r="C46" s="17"/>
      <c r="D46" s="17"/>
    </row>
    <row r="47" spans="1:4" x14ac:dyDescent="0.2">
      <c r="B47" s="17"/>
      <c r="C47" s="17"/>
      <c r="D47" s="17"/>
    </row>
    <row r="48" spans="1:4" x14ac:dyDescent="0.2">
      <c r="B48" s="17"/>
      <c r="C48" s="17"/>
      <c r="D48" s="17"/>
    </row>
    <row r="49" spans="2:4" x14ac:dyDescent="0.2">
      <c r="B49" s="17"/>
      <c r="C49" s="17"/>
      <c r="D49" s="17"/>
    </row>
    <row r="50" spans="2:4" x14ac:dyDescent="0.2">
      <c r="B50" s="17"/>
      <c r="C50" s="17"/>
      <c r="D50" s="17"/>
    </row>
  </sheetData>
  <mergeCells count="8">
    <mergeCell ref="A11:D11"/>
    <mergeCell ref="A1:D1"/>
    <mergeCell ref="A2:D2"/>
    <mergeCell ref="A3:D3"/>
    <mergeCell ref="A4:D4"/>
    <mergeCell ref="A5:D5"/>
    <mergeCell ref="A6:D8"/>
    <mergeCell ref="A9:D9"/>
  </mergeCells>
  <pageMargins left="0.75" right="0.4" top="0.75" bottom="0.75" header="0.5" footer="0.5"/>
  <pageSetup scale="90" firstPageNumber="0"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2"/>
  <sheetViews>
    <sheetView workbookViewId="0">
      <selection activeCell="H34" sqref="H34"/>
    </sheetView>
  </sheetViews>
  <sheetFormatPr defaultRowHeight="12.75" x14ac:dyDescent="0.2"/>
  <cols>
    <col min="1" max="4" width="25" style="12" customWidth="1"/>
    <col min="5" max="254" width="9.140625" style="1"/>
    <col min="255" max="259" width="18.5703125" style="1" customWidth="1"/>
    <col min="260" max="510" width="9.140625" style="1"/>
    <col min="511" max="515" width="18.5703125" style="1" customWidth="1"/>
    <col min="516" max="766" width="9.140625" style="1"/>
    <col min="767" max="771" width="18.5703125" style="1" customWidth="1"/>
    <col min="772" max="1022" width="9.140625" style="1"/>
    <col min="1023" max="1027" width="18.5703125" style="1" customWidth="1"/>
    <col min="1028" max="1278" width="9.140625" style="1"/>
    <col min="1279" max="1283" width="18.5703125" style="1" customWidth="1"/>
    <col min="1284" max="1534" width="9.140625" style="1"/>
    <col min="1535" max="1539" width="18.5703125" style="1" customWidth="1"/>
    <col min="1540" max="1790" width="9.140625" style="1"/>
    <col min="1791" max="1795" width="18.5703125" style="1" customWidth="1"/>
    <col min="1796" max="2046" width="9.140625" style="1"/>
    <col min="2047" max="2051" width="18.5703125" style="1" customWidth="1"/>
    <col min="2052" max="2302" width="9.140625" style="1"/>
    <col min="2303" max="2307" width="18.5703125" style="1" customWidth="1"/>
    <col min="2308" max="2558" width="9.140625" style="1"/>
    <col min="2559" max="2563" width="18.5703125" style="1" customWidth="1"/>
    <col min="2564" max="2814" width="9.140625" style="1"/>
    <col min="2815" max="2819" width="18.5703125" style="1" customWidth="1"/>
    <col min="2820" max="3070" width="9.140625" style="1"/>
    <col min="3071" max="3075" width="18.5703125" style="1" customWidth="1"/>
    <col min="3076" max="3326" width="9.140625" style="1"/>
    <col min="3327" max="3331" width="18.5703125" style="1" customWidth="1"/>
    <col min="3332" max="3582" width="9.140625" style="1"/>
    <col min="3583" max="3587" width="18.5703125" style="1" customWidth="1"/>
    <col min="3588" max="3838" width="9.140625" style="1"/>
    <col min="3839" max="3843" width="18.5703125" style="1" customWidth="1"/>
    <col min="3844" max="4094" width="9.140625" style="1"/>
    <col min="4095" max="4099" width="18.5703125" style="1" customWidth="1"/>
    <col min="4100" max="4350" width="9.140625" style="1"/>
    <col min="4351" max="4355" width="18.5703125" style="1" customWidth="1"/>
    <col min="4356" max="4606" width="9.140625" style="1"/>
    <col min="4607" max="4611" width="18.5703125" style="1" customWidth="1"/>
    <col min="4612" max="4862" width="9.140625" style="1"/>
    <col min="4863" max="4867" width="18.5703125" style="1" customWidth="1"/>
    <col min="4868" max="5118" width="9.140625" style="1"/>
    <col min="5119" max="5123" width="18.5703125" style="1" customWidth="1"/>
    <col min="5124" max="5374" width="9.140625" style="1"/>
    <col min="5375" max="5379" width="18.5703125" style="1" customWidth="1"/>
    <col min="5380" max="5630" width="9.140625" style="1"/>
    <col min="5631" max="5635" width="18.5703125" style="1" customWidth="1"/>
    <col min="5636" max="5886" width="9.140625" style="1"/>
    <col min="5887" max="5891" width="18.5703125" style="1" customWidth="1"/>
    <col min="5892" max="6142" width="9.140625" style="1"/>
    <col min="6143" max="6147" width="18.5703125" style="1" customWidth="1"/>
    <col min="6148" max="6398" width="9.140625" style="1"/>
    <col min="6399" max="6403" width="18.5703125" style="1" customWidth="1"/>
    <col min="6404" max="6654" width="9.140625" style="1"/>
    <col min="6655" max="6659" width="18.5703125" style="1" customWidth="1"/>
    <col min="6660" max="6910" width="9.140625" style="1"/>
    <col min="6911" max="6915" width="18.5703125" style="1" customWidth="1"/>
    <col min="6916" max="7166" width="9.140625" style="1"/>
    <col min="7167" max="7171" width="18.5703125" style="1" customWidth="1"/>
    <col min="7172" max="7422" width="9.140625" style="1"/>
    <col min="7423" max="7427" width="18.5703125" style="1" customWidth="1"/>
    <col min="7428" max="7678" width="9.140625" style="1"/>
    <col min="7679" max="7683" width="18.5703125" style="1" customWidth="1"/>
    <col min="7684" max="7934" width="9.140625" style="1"/>
    <col min="7935" max="7939" width="18.5703125" style="1" customWidth="1"/>
    <col min="7940" max="8190" width="9.140625" style="1"/>
    <col min="8191" max="8195" width="18.5703125" style="1" customWidth="1"/>
    <col min="8196" max="8446" width="9.140625" style="1"/>
    <col min="8447" max="8451" width="18.5703125" style="1" customWidth="1"/>
    <col min="8452" max="8702" width="9.140625" style="1"/>
    <col min="8703" max="8707" width="18.5703125" style="1" customWidth="1"/>
    <col min="8708" max="8958" width="9.140625" style="1"/>
    <col min="8959" max="8963" width="18.5703125" style="1" customWidth="1"/>
    <col min="8964" max="9214" width="9.140625" style="1"/>
    <col min="9215" max="9219" width="18.5703125" style="1" customWidth="1"/>
    <col min="9220" max="9470" width="9.140625" style="1"/>
    <col min="9471" max="9475" width="18.5703125" style="1" customWidth="1"/>
    <col min="9476" max="9726" width="9.140625" style="1"/>
    <col min="9727" max="9731" width="18.5703125" style="1" customWidth="1"/>
    <col min="9732" max="9982" width="9.140625" style="1"/>
    <col min="9983" max="9987" width="18.5703125" style="1" customWidth="1"/>
    <col min="9988" max="10238" width="9.140625" style="1"/>
    <col min="10239" max="10243" width="18.5703125" style="1" customWidth="1"/>
    <col min="10244" max="10494" width="9.140625" style="1"/>
    <col min="10495" max="10499" width="18.5703125" style="1" customWidth="1"/>
    <col min="10500" max="10750" width="9.140625" style="1"/>
    <col min="10751" max="10755" width="18.5703125" style="1" customWidth="1"/>
    <col min="10756" max="11006" width="9.140625" style="1"/>
    <col min="11007" max="11011" width="18.5703125" style="1" customWidth="1"/>
    <col min="11012" max="11262" width="9.140625" style="1"/>
    <col min="11263" max="11267" width="18.5703125" style="1" customWidth="1"/>
    <col min="11268" max="11518" width="9.140625" style="1"/>
    <col min="11519" max="11523" width="18.5703125" style="1" customWidth="1"/>
    <col min="11524" max="11774" width="9.140625" style="1"/>
    <col min="11775" max="11779" width="18.5703125" style="1" customWidth="1"/>
    <col min="11780" max="12030" width="9.140625" style="1"/>
    <col min="12031" max="12035" width="18.5703125" style="1" customWidth="1"/>
    <col min="12036" max="12286" width="9.140625" style="1"/>
    <col min="12287" max="12291" width="18.5703125" style="1" customWidth="1"/>
    <col min="12292" max="12542" width="9.140625" style="1"/>
    <col min="12543" max="12547" width="18.5703125" style="1" customWidth="1"/>
    <col min="12548" max="12798" width="9.140625" style="1"/>
    <col min="12799" max="12803" width="18.5703125" style="1" customWidth="1"/>
    <col min="12804" max="13054" width="9.140625" style="1"/>
    <col min="13055" max="13059" width="18.5703125" style="1" customWidth="1"/>
    <col min="13060" max="13310" width="9.140625" style="1"/>
    <col min="13311" max="13315" width="18.5703125" style="1" customWidth="1"/>
    <col min="13316" max="13566" width="9.140625" style="1"/>
    <col min="13567" max="13571" width="18.5703125" style="1" customWidth="1"/>
    <col min="13572" max="13822" width="9.140625" style="1"/>
    <col min="13823" max="13827" width="18.5703125" style="1" customWidth="1"/>
    <col min="13828" max="14078" width="9.140625" style="1"/>
    <col min="14079" max="14083" width="18.5703125" style="1" customWidth="1"/>
    <col min="14084" max="14334" width="9.140625" style="1"/>
    <col min="14335" max="14339" width="18.5703125" style="1" customWidth="1"/>
    <col min="14340" max="14590" width="9.140625" style="1"/>
    <col min="14591" max="14595" width="18.5703125" style="1" customWidth="1"/>
    <col min="14596" max="14846" width="9.140625" style="1"/>
    <col min="14847" max="14851" width="18.5703125" style="1" customWidth="1"/>
    <col min="14852" max="15102" width="9.140625" style="1"/>
    <col min="15103" max="15107" width="18.5703125" style="1" customWidth="1"/>
    <col min="15108" max="15358" width="9.140625" style="1"/>
    <col min="15359" max="15363" width="18.5703125" style="1" customWidth="1"/>
    <col min="15364" max="15614" width="9.140625" style="1"/>
    <col min="15615" max="15619" width="18.5703125" style="1" customWidth="1"/>
    <col min="15620" max="15870" width="9.140625" style="1"/>
    <col min="15871" max="15875" width="18.5703125" style="1" customWidth="1"/>
    <col min="15876" max="16126" width="9.140625" style="1"/>
    <col min="16127" max="16131" width="18.5703125" style="1" customWidth="1"/>
    <col min="16132" max="16384" width="9.140625" style="1"/>
  </cols>
  <sheetData>
    <row r="1" spans="1:8" ht="15" customHeight="1" x14ac:dyDescent="0.25">
      <c r="A1" s="100" t="s">
        <v>0</v>
      </c>
      <c r="B1" s="100"/>
      <c r="C1" s="100"/>
      <c r="D1" s="100"/>
    </row>
    <row r="2" spans="1:8" ht="15" customHeight="1" x14ac:dyDescent="0.25">
      <c r="A2" s="100" t="s">
        <v>154</v>
      </c>
      <c r="B2" s="100"/>
      <c r="C2" s="100"/>
      <c r="D2" s="100"/>
      <c r="E2" s="45"/>
      <c r="F2" s="45"/>
      <c r="G2" s="45"/>
      <c r="H2" s="45"/>
    </row>
    <row r="3" spans="1:8" ht="15" customHeight="1" x14ac:dyDescent="0.25">
      <c r="A3" s="101" t="s">
        <v>1</v>
      </c>
      <c r="B3" s="101"/>
      <c r="C3" s="101"/>
      <c r="D3" s="101"/>
    </row>
    <row r="4" spans="1:8" ht="15" customHeight="1" x14ac:dyDescent="0.25">
      <c r="A4" s="101" t="s">
        <v>90</v>
      </c>
      <c r="B4" s="101"/>
      <c r="C4" s="101"/>
      <c r="D4" s="101"/>
    </row>
    <row r="5" spans="1:8" ht="15" customHeight="1" x14ac:dyDescent="0.25">
      <c r="A5" s="101" t="s">
        <v>22</v>
      </c>
      <c r="B5" s="101"/>
      <c r="C5" s="101"/>
      <c r="D5" s="101"/>
    </row>
    <row r="6" spans="1:8" ht="8.25" customHeight="1" x14ac:dyDescent="0.2">
      <c r="A6" s="104" t="s">
        <v>23</v>
      </c>
      <c r="B6" s="104"/>
      <c r="C6" s="104"/>
      <c r="D6" s="104"/>
    </row>
    <row r="7" spans="1:8" ht="15" customHeight="1" x14ac:dyDescent="0.2">
      <c r="A7" s="104"/>
      <c r="B7" s="104"/>
      <c r="C7" s="104"/>
      <c r="D7" s="104"/>
    </row>
    <row r="8" spans="1:8" ht="15" customHeight="1" x14ac:dyDescent="0.2">
      <c r="A8" s="104"/>
      <c r="B8" s="104"/>
      <c r="C8" s="104"/>
      <c r="D8" s="104"/>
    </row>
    <row r="9" spans="1:8" ht="15" customHeight="1" x14ac:dyDescent="0.2">
      <c r="A9" s="103" t="s">
        <v>120</v>
      </c>
      <c r="B9" s="103"/>
      <c r="C9" s="103"/>
      <c r="D9" s="103"/>
    </row>
    <row r="10" spans="1:8" ht="9" customHeight="1" x14ac:dyDescent="0.2">
      <c r="A10" s="22"/>
      <c r="B10" s="22"/>
      <c r="C10" s="22"/>
      <c r="D10" s="22"/>
    </row>
    <row r="11" spans="1:8" ht="9" customHeight="1" x14ac:dyDescent="0.2">
      <c r="A11" s="99"/>
      <c r="B11" s="99"/>
      <c r="C11" s="99"/>
      <c r="D11" s="99"/>
    </row>
    <row r="12" spans="1:8" x14ac:dyDescent="0.2">
      <c r="A12" s="3" t="s">
        <v>43</v>
      </c>
      <c r="B12" s="20" t="s">
        <v>44</v>
      </c>
      <c r="C12" s="20" t="s">
        <v>45</v>
      </c>
      <c r="D12" s="20" t="s">
        <v>46</v>
      </c>
    </row>
    <row r="13" spans="1:8" ht="8.25" customHeight="1" x14ac:dyDescent="0.2"/>
    <row r="14" spans="1:8" s="5" customFormat="1" ht="12" customHeight="1" x14ac:dyDescent="0.2">
      <c r="A14" s="4" t="s">
        <v>6</v>
      </c>
      <c r="B14" s="15">
        <v>310000</v>
      </c>
      <c r="C14" s="15">
        <f>76312.5+70112.5</f>
        <v>146425</v>
      </c>
      <c r="D14" s="15">
        <f t="shared" ref="D14:D24" si="0">+B14+C14</f>
        <v>456425</v>
      </c>
    </row>
    <row r="15" spans="1:8" s="5" customFormat="1" ht="12" customHeight="1" x14ac:dyDescent="0.2">
      <c r="A15" s="4" t="s">
        <v>7</v>
      </c>
      <c r="B15" s="15">
        <v>325000</v>
      </c>
      <c r="C15" s="15">
        <f>70112.5+63612.5</f>
        <v>133725</v>
      </c>
      <c r="D15" s="15">
        <f t="shared" si="0"/>
        <v>458725</v>
      </c>
    </row>
    <row r="16" spans="1:8" s="5" customFormat="1" ht="12" customHeight="1" x14ac:dyDescent="0.2">
      <c r="A16" s="4" t="s">
        <v>8</v>
      </c>
      <c r="B16" s="15">
        <v>335000</v>
      </c>
      <c r="C16" s="15">
        <f>63612.5+56912.5</f>
        <v>120525</v>
      </c>
      <c r="D16" s="15">
        <f t="shared" si="0"/>
        <v>455525</v>
      </c>
    </row>
    <row r="17" spans="1:4" s="5" customFormat="1" ht="12" customHeight="1" x14ac:dyDescent="0.2">
      <c r="A17" s="4" t="s">
        <v>9</v>
      </c>
      <c r="B17" s="15">
        <v>350000</v>
      </c>
      <c r="C17" s="15">
        <f>56912.5+49912.5</f>
        <v>106825</v>
      </c>
      <c r="D17" s="15">
        <f t="shared" si="0"/>
        <v>456825</v>
      </c>
    </row>
    <row r="18" spans="1:4" s="5" customFormat="1" ht="12" customHeight="1" x14ac:dyDescent="0.2">
      <c r="A18" s="4" t="s">
        <v>12</v>
      </c>
      <c r="B18" s="15">
        <v>365000</v>
      </c>
      <c r="C18" s="15">
        <f>49912.5+42612.5</f>
        <v>92525</v>
      </c>
      <c r="D18" s="15">
        <f t="shared" si="0"/>
        <v>457525</v>
      </c>
    </row>
    <row r="19" spans="1:4" s="5" customFormat="1" ht="12" customHeight="1" x14ac:dyDescent="0.2">
      <c r="A19" s="4" t="s">
        <v>18</v>
      </c>
      <c r="B19" s="15">
        <v>380000</v>
      </c>
      <c r="C19" s="15">
        <f>42612.5+35012.5</f>
        <v>77625</v>
      </c>
      <c r="D19" s="15">
        <f t="shared" si="0"/>
        <v>457625</v>
      </c>
    </row>
    <row r="20" spans="1:4" s="5" customFormat="1" ht="12" customHeight="1" x14ac:dyDescent="0.2">
      <c r="A20" s="4" t="s">
        <v>19</v>
      </c>
      <c r="B20" s="15">
        <v>395000</v>
      </c>
      <c r="C20" s="15">
        <f>35012.5+27112.5</f>
        <v>62125</v>
      </c>
      <c r="D20" s="15">
        <f t="shared" si="0"/>
        <v>457125</v>
      </c>
    </row>
    <row r="21" spans="1:4" s="5" customFormat="1" ht="12" customHeight="1" x14ac:dyDescent="0.2">
      <c r="A21" s="4" t="s">
        <v>20</v>
      </c>
      <c r="B21" s="15">
        <v>410000</v>
      </c>
      <c r="C21" s="15">
        <f>27112.5+20962.5</f>
        <v>48075</v>
      </c>
      <c r="D21" s="15">
        <f t="shared" si="0"/>
        <v>458075</v>
      </c>
    </row>
    <row r="22" spans="1:4" s="5" customFormat="1" ht="12" customHeight="1" x14ac:dyDescent="0.2">
      <c r="A22" s="4" t="s">
        <v>21</v>
      </c>
      <c r="B22" s="15">
        <v>420000</v>
      </c>
      <c r="C22" s="15">
        <f>20962.5+14662.5</f>
        <v>35625</v>
      </c>
      <c r="D22" s="15">
        <f t="shared" si="0"/>
        <v>455625</v>
      </c>
    </row>
    <row r="23" spans="1:4" s="5" customFormat="1" ht="12" customHeight="1" x14ac:dyDescent="0.2">
      <c r="A23" s="4" t="s">
        <v>24</v>
      </c>
      <c r="B23" s="15">
        <v>435000</v>
      </c>
      <c r="C23" s="15">
        <f>14662.5+7593.75</f>
        <v>22256.25</v>
      </c>
      <c r="D23" s="15">
        <f t="shared" si="0"/>
        <v>457256.25</v>
      </c>
    </row>
    <row r="24" spans="1:4" s="5" customFormat="1" ht="12" customHeight="1" x14ac:dyDescent="0.2">
      <c r="A24" s="4" t="s">
        <v>25</v>
      </c>
      <c r="B24" s="15">
        <v>450000</v>
      </c>
      <c r="C24" s="15">
        <v>7593.75</v>
      </c>
      <c r="D24" s="15">
        <f t="shared" si="0"/>
        <v>457593.75</v>
      </c>
    </row>
    <row r="25" spans="1:4" s="5" customFormat="1" ht="12" customHeight="1" x14ac:dyDescent="0.2">
      <c r="A25" s="6" t="s">
        <v>4</v>
      </c>
      <c r="B25" s="16">
        <f>SUM(B13:B24)</f>
        <v>4175000</v>
      </c>
      <c r="C25" s="16">
        <f>SUM(C13:C24)</f>
        <v>853325</v>
      </c>
      <c r="D25" s="16">
        <f>SUM(D13:D24)</f>
        <v>5028325</v>
      </c>
    </row>
    <row r="26" spans="1:4" ht="11.25" customHeight="1" x14ac:dyDescent="0.2">
      <c r="A26" s="7"/>
      <c r="C26" s="9"/>
      <c r="D26" s="9"/>
    </row>
    <row r="27" spans="1:4" ht="11.25" customHeight="1" x14ac:dyDescent="0.2">
      <c r="A27" s="7"/>
      <c r="B27" s="9"/>
      <c r="C27" s="9"/>
      <c r="D27" s="9"/>
    </row>
    <row r="28" spans="1:4" ht="11.25" customHeight="1" x14ac:dyDescent="0.2">
      <c r="A28" s="7"/>
      <c r="B28" s="9"/>
      <c r="C28" s="9"/>
      <c r="D28" s="9"/>
    </row>
    <row r="29" spans="1:4" ht="11.25" customHeight="1" x14ac:dyDescent="0.2">
      <c r="A29" s="7"/>
      <c r="B29" s="9"/>
      <c r="C29" s="9"/>
      <c r="D29" s="9"/>
    </row>
    <row r="30" spans="1:4" ht="11.25" customHeight="1" x14ac:dyDescent="0.2">
      <c r="A30" s="7"/>
      <c r="B30" s="9"/>
      <c r="C30" s="9"/>
      <c r="D30" s="9"/>
    </row>
    <row r="31" spans="1:4" ht="11.25" customHeight="1" x14ac:dyDescent="0.2">
      <c r="A31" s="7"/>
      <c r="B31" s="9"/>
      <c r="C31" s="9"/>
      <c r="D31" s="9"/>
    </row>
    <row r="32" spans="1:4" ht="11.25" customHeight="1" x14ac:dyDescent="0.2">
      <c r="A32" s="7"/>
      <c r="B32" s="9"/>
      <c r="C32" s="9"/>
      <c r="D32" s="9"/>
    </row>
    <row r="33" spans="1:4" x14ac:dyDescent="0.2">
      <c r="A33" s="7"/>
      <c r="B33" s="17"/>
      <c r="C33" s="17"/>
      <c r="D33" s="17"/>
    </row>
    <row r="34" spans="1:4" x14ac:dyDescent="0.2">
      <c r="A34" s="7"/>
      <c r="B34" s="17"/>
      <c r="C34" s="17"/>
      <c r="D34" s="17"/>
    </row>
    <row r="35" spans="1:4" x14ac:dyDescent="0.2">
      <c r="A35" s="7"/>
      <c r="B35" s="17"/>
      <c r="C35" s="17"/>
      <c r="D35" s="17"/>
    </row>
    <row r="36" spans="1:4" x14ac:dyDescent="0.2">
      <c r="A36" s="7"/>
      <c r="B36" s="17"/>
      <c r="C36" s="17"/>
      <c r="D36" s="17"/>
    </row>
    <row r="37" spans="1:4" x14ac:dyDescent="0.2">
      <c r="A37" s="7"/>
      <c r="B37" s="17"/>
      <c r="C37" s="17"/>
      <c r="D37" s="17"/>
    </row>
    <row r="38" spans="1:4" x14ac:dyDescent="0.2">
      <c r="A38" s="7"/>
      <c r="B38" s="17"/>
      <c r="C38" s="17"/>
      <c r="D38" s="17"/>
    </row>
    <row r="39" spans="1:4" x14ac:dyDescent="0.2">
      <c r="A39" s="7"/>
      <c r="B39" s="17"/>
      <c r="C39" s="17"/>
      <c r="D39" s="17"/>
    </row>
    <row r="40" spans="1:4" x14ac:dyDescent="0.2">
      <c r="A40" s="7"/>
      <c r="B40" s="17"/>
      <c r="C40" s="17"/>
      <c r="D40" s="17"/>
    </row>
    <row r="41" spans="1:4" x14ac:dyDescent="0.2">
      <c r="A41" s="7"/>
      <c r="B41" s="17"/>
      <c r="C41" s="17"/>
      <c r="D41" s="17"/>
    </row>
    <row r="42" spans="1:4" x14ac:dyDescent="0.2">
      <c r="A42" s="7"/>
      <c r="B42" s="17"/>
      <c r="C42" s="17"/>
      <c r="D42" s="17"/>
    </row>
    <row r="43" spans="1:4" x14ac:dyDescent="0.2">
      <c r="B43" s="17"/>
      <c r="C43" s="17"/>
      <c r="D43" s="17"/>
    </row>
    <row r="44" spans="1:4" x14ac:dyDescent="0.2">
      <c r="B44" s="17"/>
      <c r="C44" s="17"/>
      <c r="D44" s="17"/>
    </row>
    <row r="45" spans="1:4" x14ac:dyDescent="0.2">
      <c r="B45" s="17"/>
      <c r="C45" s="17"/>
      <c r="D45" s="17"/>
    </row>
    <row r="46" spans="1:4" x14ac:dyDescent="0.2">
      <c r="B46" s="17"/>
      <c r="C46" s="17"/>
      <c r="D46" s="17"/>
    </row>
    <row r="47" spans="1:4" x14ac:dyDescent="0.2">
      <c r="B47" s="17"/>
      <c r="C47" s="17"/>
      <c r="D47" s="17"/>
    </row>
    <row r="48" spans="1:4" x14ac:dyDescent="0.2">
      <c r="B48" s="17"/>
      <c r="C48" s="17"/>
      <c r="D48" s="17"/>
    </row>
    <row r="49" spans="2:4" x14ac:dyDescent="0.2">
      <c r="B49" s="17"/>
      <c r="C49" s="17"/>
      <c r="D49" s="17"/>
    </row>
    <row r="50" spans="2:4" x14ac:dyDescent="0.2">
      <c r="B50" s="17"/>
      <c r="C50" s="17"/>
      <c r="D50" s="17"/>
    </row>
    <row r="51" spans="2:4" x14ac:dyDescent="0.2">
      <c r="B51" s="17"/>
      <c r="C51" s="17"/>
      <c r="D51" s="17"/>
    </row>
    <row r="52" spans="2:4" x14ac:dyDescent="0.2">
      <c r="B52" s="17"/>
      <c r="C52" s="17"/>
      <c r="D52" s="17"/>
    </row>
  </sheetData>
  <mergeCells count="8">
    <mergeCell ref="A11:D11"/>
    <mergeCell ref="A1:D1"/>
    <mergeCell ref="A2:D2"/>
    <mergeCell ref="A3:D3"/>
    <mergeCell ref="A4:D4"/>
    <mergeCell ref="A5:D5"/>
    <mergeCell ref="A6:D8"/>
    <mergeCell ref="A9:D9"/>
  </mergeCells>
  <pageMargins left="0.75" right="0.4" top="0.75" bottom="0.75" header="0.5" footer="0.5"/>
  <pageSetup scale="90" firstPageNumber="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53"/>
  <sheetViews>
    <sheetView workbookViewId="0">
      <selection activeCell="H34" sqref="H34"/>
    </sheetView>
  </sheetViews>
  <sheetFormatPr defaultRowHeight="12.75" x14ac:dyDescent="0.2"/>
  <cols>
    <col min="1" max="4" width="25" style="12" customWidth="1"/>
    <col min="5" max="254" width="9.140625" style="1"/>
    <col min="255" max="259" width="18.5703125" style="1" customWidth="1"/>
    <col min="260" max="510" width="9.140625" style="1"/>
    <col min="511" max="515" width="18.5703125" style="1" customWidth="1"/>
    <col min="516" max="766" width="9.140625" style="1"/>
    <col min="767" max="771" width="18.5703125" style="1" customWidth="1"/>
    <col min="772" max="1022" width="9.140625" style="1"/>
    <col min="1023" max="1027" width="18.5703125" style="1" customWidth="1"/>
    <col min="1028" max="1278" width="9.140625" style="1"/>
    <col min="1279" max="1283" width="18.5703125" style="1" customWidth="1"/>
    <col min="1284" max="1534" width="9.140625" style="1"/>
    <col min="1535" max="1539" width="18.5703125" style="1" customWidth="1"/>
    <col min="1540" max="1790" width="9.140625" style="1"/>
    <col min="1791" max="1795" width="18.5703125" style="1" customWidth="1"/>
    <col min="1796" max="2046" width="9.140625" style="1"/>
    <col min="2047" max="2051" width="18.5703125" style="1" customWidth="1"/>
    <col min="2052" max="2302" width="9.140625" style="1"/>
    <col min="2303" max="2307" width="18.5703125" style="1" customWidth="1"/>
    <col min="2308" max="2558" width="9.140625" style="1"/>
    <col min="2559" max="2563" width="18.5703125" style="1" customWidth="1"/>
    <col min="2564" max="2814" width="9.140625" style="1"/>
    <col min="2815" max="2819" width="18.5703125" style="1" customWidth="1"/>
    <col min="2820" max="3070" width="9.140625" style="1"/>
    <col min="3071" max="3075" width="18.5703125" style="1" customWidth="1"/>
    <col min="3076" max="3326" width="9.140625" style="1"/>
    <col min="3327" max="3331" width="18.5703125" style="1" customWidth="1"/>
    <col min="3332" max="3582" width="9.140625" style="1"/>
    <col min="3583" max="3587" width="18.5703125" style="1" customWidth="1"/>
    <col min="3588" max="3838" width="9.140625" style="1"/>
    <col min="3839" max="3843" width="18.5703125" style="1" customWidth="1"/>
    <col min="3844" max="4094" width="9.140625" style="1"/>
    <col min="4095" max="4099" width="18.5703125" style="1" customWidth="1"/>
    <col min="4100" max="4350" width="9.140625" style="1"/>
    <col min="4351" max="4355" width="18.5703125" style="1" customWidth="1"/>
    <col min="4356" max="4606" width="9.140625" style="1"/>
    <col min="4607" max="4611" width="18.5703125" style="1" customWidth="1"/>
    <col min="4612" max="4862" width="9.140625" style="1"/>
    <col min="4863" max="4867" width="18.5703125" style="1" customWidth="1"/>
    <col min="4868" max="5118" width="9.140625" style="1"/>
    <col min="5119" max="5123" width="18.5703125" style="1" customWidth="1"/>
    <col min="5124" max="5374" width="9.140625" style="1"/>
    <col min="5375" max="5379" width="18.5703125" style="1" customWidth="1"/>
    <col min="5380" max="5630" width="9.140625" style="1"/>
    <col min="5631" max="5635" width="18.5703125" style="1" customWidth="1"/>
    <col min="5636" max="5886" width="9.140625" style="1"/>
    <col min="5887" max="5891" width="18.5703125" style="1" customWidth="1"/>
    <col min="5892" max="6142" width="9.140625" style="1"/>
    <col min="6143" max="6147" width="18.5703125" style="1" customWidth="1"/>
    <col min="6148" max="6398" width="9.140625" style="1"/>
    <col min="6399" max="6403" width="18.5703125" style="1" customWidth="1"/>
    <col min="6404" max="6654" width="9.140625" style="1"/>
    <col min="6655" max="6659" width="18.5703125" style="1" customWidth="1"/>
    <col min="6660" max="6910" width="9.140625" style="1"/>
    <col min="6911" max="6915" width="18.5703125" style="1" customWidth="1"/>
    <col min="6916" max="7166" width="9.140625" style="1"/>
    <col min="7167" max="7171" width="18.5703125" style="1" customWidth="1"/>
    <col min="7172" max="7422" width="9.140625" style="1"/>
    <col min="7423" max="7427" width="18.5703125" style="1" customWidth="1"/>
    <col min="7428" max="7678" width="9.140625" style="1"/>
    <col min="7679" max="7683" width="18.5703125" style="1" customWidth="1"/>
    <col min="7684" max="7934" width="9.140625" style="1"/>
    <col min="7935" max="7939" width="18.5703125" style="1" customWidth="1"/>
    <col min="7940" max="8190" width="9.140625" style="1"/>
    <col min="8191" max="8195" width="18.5703125" style="1" customWidth="1"/>
    <col min="8196" max="8446" width="9.140625" style="1"/>
    <col min="8447" max="8451" width="18.5703125" style="1" customWidth="1"/>
    <col min="8452" max="8702" width="9.140625" style="1"/>
    <col min="8703" max="8707" width="18.5703125" style="1" customWidth="1"/>
    <col min="8708" max="8958" width="9.140625" style="1"/>
    <col min="8959" max="8963" width="18.5703125" style="1" customWidth="1"/>
    <col min="8964" max="9214" width="9.140625" style="1"/>
    <col min="9215" max="9219" width="18.5703125" style="1" customWidth="1"/>
    <col min="9220" max="9470" width="9.140625" style="1"/>
    <col min="9471" max="9475" width="18.5703125" style="1" customWidth="1"/>
    <col min="9476" max="9726" width="9.140625" style="1"/>
    <col min="9727" max="9731" width="18.5703125" style="1" customWidth="1"/>
    <col min="9732" max="9982" width="9.140625" style="1"/>
    <col min="9983" max="9987" width="18.5703125" style="1" customWidth="1"/>
    <col min="9988" max="10238" width="9.140625" style="1"/>
    <col min="10239" max="10243" width="18.5703125" style="1" customWidth="1"/>
    <col min="10244" max="10494" width="9.140625" style="1"/>
    <col min="10495" max="10499" width="18.5703125" style="1" customWidth="1"/>
    <col min="10500" max="10750" width="9.140625" style="1"/>
    <col min="10751" max="10755" width="18.5703125" style="1" customWidth="1"/>
    <col min="10756" max="11006" width="9.140625" style="1"/>
    <col min="11007" max="11011" width="18.5703125" style="1" customWidth="1"/>
    <col min="11012" max="11262" width="9.140625" style="1"/>
    <col min="11263" max="11267" width="18.5703125" style="1" customWidth="1"/>
    <col min="11268" max="11518" width="9.140625" style="1"/>
    <col min="11519" max="11523" width="18.5703125" style="1" customWidth="1"/>
    <col min="11524" max="11774" width="9.140625" style="1"/>
    <col min="11775" max="11779" width="18.5703125" style="1" customWidth="1"/>
    <col min="11780" max="12030" width="9.140625" style="1"/>
    <col min="12031" max="12035" width="18.5703125" style="1" customWidth="1"/>
    <col min="12036" max="12286" width="9.140625" style="1"/>
    <col min="12287" max="12291" width="18.5703125" style="1" customWidth="1"/>
    <col min="12292" max="12542" width="9.140625" style="1"/>
    <col min="12543" max="12547" width="18.5703125" style="1" customWidth="1"/>
    <col min="12548" max="12798" width="9.140625" style="1"/>
    <col min="12799" max="12803" width="18.5703125" style="1" customWidth="1"/>
    <col min="12804" max="13054" width="9.140625" style="1"/>
    <col min="13055" max="13059" width="18.5703125" style="1" customWidth="1"/>
    <col min="13060" max="13310" width="9.140625" style="1"/>
    <col min="13311" max="13315" width="18.5703125" style="1" customWidth="1"/>
    <col min="13316" max="13566" width="9.140625" style="1"/>
    <col min="13567" max="13571" width="18.5703125" style="1" customWidth="1"/>
    <col min="13572" max="13822" width="9.140625" style="1"/>
    <col min="13823" max="13827" width="18.5703125" style="1" customWidth="1"/>
    <col min="13828" max="14078" width="9.140625" style="1"/>
    <col min="14079" max="14083" width="18.5703125" style="1" customWidth="1"/>
    <col min="14084" max="14334" width="9.140625" style="1"/>
    <col min="14335" max="14339" width="18.5703125" style="1" customWidth="1"/>
    <col min="14340" max="14590" width="9.140625" style="1"/>
    <col min="14591" max="14595" width="18.5703125" style="1" customWidth="1"/>
    <col min="14596" max="14846" width="9.140625" style="1"/>
    <col min="14847" max="14851" width="18.5703125" style="1" customWidth="1"/>
    <col min="14852" max="15102" width="9.140625" style="1"/>
    <col min="15103" max="15107" width="18.5703125" style="1" customWidth="1"/>
    <col min="15108" max="15358" width="9.140625" style="1"/>
    <col min="15359" max="15363" width="18.5703125" style="1" customWidth="1"/>
    <col min="15364" max="15614" width="9.140625" style="1"/>
    <col min="15615" max="15619" width="18.5703125" style="1" customWidth="1"/>
    <col min="15620" max="15870" width="9.140625" style="1"/>
    <col min="15871" max="15875" width="18.5703125" style="1" customWidth="1"/>
    <col min="15876" max="16126" width="9.140625" style="1"/>
    <col min="16127" max="16131" width="18.5703125" style="1" customWidth="1"/>
    <col min="16132" max="16384" width="9.140625" style="1"/>
  </cols>
  <sheetData>
    <row r="1" spans="1:8" ht="15" customHeight="1" x14ac:dyDescent="0.25">
      <c r="A1" s="100" t="s">
        <v>0</v>
      </c>
      <c r="B1" s="100"/>
      <c r="C1" s="100"/>
      <c r="D1" s="100"/>
    </row>
    <row r="2" spans="1:8" ht="15" customHeight="1" x14ac:dyDescent="0.25">
      <c r="A2" s="100" t="s">
        <v>154</v>
      </c>
      <c r="B2" s="100"/>
      <c r="C2" s="100"/>
      <c r="D2" s="100"/>
      <c r="E2" s="45"/>
      <c r="F2" s="45"/>
      <c r="G2" s="45"/>
      <c r="H2" s="45"/>
    </row>
    <row r="3" spans="1:8" ht="15" customHeight="1" x14ac:dyDescent="0.25">
      <c r="A3" s="101" t="s">
        <v>1</v>
      </c>
      <c r="B3" s="101"/>
      <c r="C3" s="101"/>
      <c r="D3" s="101"/>
    </row>
    <row r="4" spans="1:8" ht="15" customHeight="1" x14ac:dyDescent="0.25">
      <c r="A4" s="101" t="s">
        <v>38</v>
      </c>
      <c r="B4" s="101"/>
      <c r="C4" s="101"/>
      <c r="D4" s="101"/>
    </row>
    <row r="5" spans="1:8" ht="15" customHeight="1" x14ac:dyDescent="0.25">
      <c r="A5" s="101" t="s">
        <v>39</v>
      </c>
      <c r="B5" s="101"/>
      <c r="C5" s="101"/>
      <c r="D5" s="101"/>
    </row>
    <row r="6" spans="1:8" ht="8.25" customHeight="1" x14ac:dyDescent="0.2">
      <c r="A6" s="104" t="s">
        <v>40</v>
      </c>
      <c r="B6" s="104"/>
      <c r="C6" s="104"/>
      <c r="D6" s="104"/>
    </row>
    <row r="7" spans="1:8" ht="15" customHeight="1" x14ac:dyDescent="0.2">
      <c r="A7" s="104"/>
      <c r="B7" s="104"/>
      <c r="C7" s="104"/>
      <c r="D7" s="104"/>
    </row>
    <row r="8" spans="1:8" ht="15" customHeight="1" x14ac:dyDescent="0.2">
      <c r="A8" s="104"/>
      <c r="B8" s="104"/>
      <c r="C8" s="104"/>
      <c r="D8" s="104"/>
    </row>
    <row r="9" spans="1:8" ht="15" customHeight="1" x14ac:dyDescent="0.2">
      <c r="A9" s="103" t="s">
        <v>120</v>
      </c>
      <c r="B9" s="103"/>
      <c r="C9" s="103"/>
      <c r="D9" s="103"/>
    </row>
    <row r="10" spans="1:8" ht="9" customHeight="1" x14ac:dyDescent="0.2">
      <c r="A10" s="22"/>
      <c r="B10" s="22"/>
      <c r="C10" s="22"/>
      <c r="D10" s="22"/>
    </row>
    <row r="11" spans="1:8" ht="9" customHeight="1" x14ac:dyDescent="0.2">
      <c r="A11" s="99"/>
      <c r="B11" s="99"/>
      <c r="C11" s="99"/>
      <c r="D11" s="99"/>
    </row>
    <row r="12" spans="1:8" x14ac:dyDescent="0.2">
      <c r="A12" s="3" t="s">
        <v>43</v>
      </c>
      <c r="B12" s="20" t="s">
        <v>44</v>
      </c>
      <c r="C12" s="20" t="s">
        <v>45</v>
      </c>
      <c r="D12" s="20" t="s">
        <v>46</v>
      </c>
    </row>
    <row r="13" spans="1:8" ht="8.25" customHeight="1" x14ac:dyDescent="0.2"/>
    <row r="14" spans="1:8" s="5" customFormat="1" ht="12" customHeight="1" x14ac:dyDescent="0.2">
      <c r="A14" s="4" t="s">
        <v>6</v>
      </c>
      <c r="B14" s="15">
        <v>85000</v>
      </c>
      <c r="C14" s="15">
        <f>19037.5+17550</f>
        <v>36587.5</v>
      </c>
      <c r="D14" s="15">
        <f t="shared" ref="D14:D24" si="0">+B14+C14</f>
        <v>121587.5</v>
      </c>
    </row>
    <row r="15" spans="1:8" s="5" customFormat="1" ht="12" customHeight="1" x14ac:dyDescent="0.2">
      <c r="A15" s="4" t="s">
        <v>7</v>
      </c>
      <c r="B15" s="15">
        <v>85000</v>
      </c>
      <c r="C15" s="15">
        <f>17550+16062.5</f>
        <v>33612.5</v>
      </c>
      <c r="D15" s="15">
        <f t="shared" si="0"/>
        <v>118612.5</v>
      </c>
    </row>
    <row r="16" spans="1:8" s="5" customFormat="1" ht="12" customHeight="1" x14ac:dyDescent="0.2">
      <c r="A16" s="4" t="s">
        <v>8</v>
      </c>
      <c r="B16" s="15">
        <v>90000</v>
      </c>
      <c r="C16" s="15">
        <f>16062.5+14487.5</f>
        <v>30550</v>
      </c>
      <c r="D16" s="15">
        <f t="shared" si="0"/>
        <v>120550</v>
      </c>
    </row>
    <row r="17" spans="1:4" s="5" customFormat="1" ht="12" customHeight="1" x14ac:dyDescent="0.2">
      <c r="A17" s="4" t="s">
        <v>9</v>
      </c>
      <c r="B17" s="15">
        <v>95000</v>
      </c>
      <c r="C17" s="15">
        <f>14487.5+12825</f>
        <v>27312.5</v>
      </c>
      <c r="D17" s="15">
        <f t="shared" si="0"/>
        <v>122312.5</v>
      </c>
    </row>
    <row r="18" spans="1:4" s="5" customFormat="1" ht="12" customHeight="1" x14ac:dyDescent="0.2">
      <c r="A18" s="4" t="s">
        <v>12</v>
      </c>
      <c r="B18" s="15">
        <v>95000</v>
      </c>
      <c r="C18" s="15">
        <f>12825+11400</f>
        <v>24225</v>
      </c>
      <c r="D18" s="15">
        <f t="shared" si="0"/>
        <v>119225</v>
      </c>
    </row>
    <row r="19" spans="1:4" s="5" customFormat="1" ht="12" customHeight="1" x14ac:dyDescent="0.2">
      <c r="A19" s="4" t="s">
        <v>18</v>
      </c>
      <c r="B19" s="15">
        <v>100000</v>
      </c>
      <c r="C19" s="15">
        <f>11400+9900</f>
        <v>21300</v>
      </c>
      <c r="D19" s="15">
        <f t="shared" si="0"/>
        <v>121300</v>
      </c>
    </row>
    <row r="20" spans="1:4" s="5" customFormat="1" ht="12" customHeight="1" x14ac:dyDescent="0.2">
      <c r="A20" s="4" t="s">
        <v>19</v>
      </c>
      <c r="B20" s="15">
        <v>100000</v>
      </c>
      <c r="C20" s="15">
        <f>9900+8400</f>
        <v>18300</v>
      </c>
      <c r="D20" s="15">
        <f t="shared" si="0"/>
        <v>118300</v>
      </c>
    </row>
    <row r="21" spans="1:4" s="5" customFormat="1" ht="12" customHeight="1" x14ac:dyDescent="0.2">
      <c r="A21" s="4" t="s">
        <v>20</v>
      </c>
      <c r="B21" s="15">
        <v>105000</v>
      </c>
      <c r="C21" s="15">
        <f>8400+6825</f>
        <v>15225</v>
      </c>
      <c r="D21" s="15">
        <f t="shared" si="0"/>
        <v>120225</v>
      </c>
    </row>
    <row r="22" spans="1:4" s="5" customFormat="1" ht="12" customHeight="1" x14ac:dyDescent="0.2">
      <c r="A22" s="4" t="s">
        <v>21</v>
      </c>
      <c r="B22" s="15">
        <v>110000</v>
      </c>
      <c r="C22" s="15">
        <f>6825+5175</f>
        <v>12000</v>
      </c>
      <c r="D22" s="15">
        <f t="shared" si="0"/>
        <v>122000</v>
      </c>
    </row>
    <row r="23" spans="1:4" s="5" customFormat="1" ht="12" customHeight="1" x14ac:dyDescent="0.2">
      <c r="A23" s="4" t="s">
        <v>24</v>
      </c>
      <c r="B23" s="15">
        <v>110000</v>
      </c>
      <c r="C23" s="15">
        <f>5175+3525</f>
        <v>8700</v>
      </c>
      <c r="D23" s="15">
        <f t="shared" si="0"/>
        <v>118700</v>
      </c>
    </row>
    <row r="24" spans="1:4" s="5" customFormat="1" ht="12" customHeight="1" x14ac:dyDescent="0.2">
      <c r="A24" s="4" t="s">
        <v>25</v>
      </c>
      <c r="B24" s="15">
        <v>115000</v>
      </c>
      <c r="C24" s="15">
        <f>3525+1800</f>
        <v>5325</v>
      </c>
      <c r="D24" s="15">
        <f t="shared" si="0"/>
        <v>120325</v>
      </c>
    </row>
    <row r="25" spans="1:4" s="5" customFormat="1" ht="12" customHeight="1" x14ac:dyDescent="0.2">
      <c r="A25" s="4" t="s">
        <v>41</v>
      </c>
      <c r="B25" s="15">
        <v>120000</v>
      </c>
      <c r="C25" s="15">
        <v>1800</v>
      </c>
      <c r="D25" s="15">
        <f t="shared" ref="D25" si="1">+B25+C25</f>
        <v>121800</v>
      </c>
    </row>
    <row r="26" spans="1:4" s="5" customFormat="1" ht="12" customHeight="1" x14ac:dyDescent="0.2">
      <c r="A26" s="6" t="s">
        <v>4</v>
      </c>
      <c r="B26" s="16">
        <f>SUM(B13:B25)</f>
        <v>1210000</v>
      </c>
      <c r="C26" s="16">
        <f>SUM(C13:C25)</f>
        <v>234937.5</v>
      </c>
      <c r="D26" s="16">
        <f>SUM(D13:D25)</f>
        <v>1444937.5</v>
      </c>
    </row>
    <row r="27" spans="1:4" ht="11.25" customHeight="1" x14ac:dyDescent="0.2">
      <c r="A27" s="7"/>
      <c r="C27" s="9"/>
      <c r="D27" s="9"/>
    </row>
    <row r="28" spans="1:4" ht="11.25" customHeight="1" x14ac:dyDescent="0.2">
      <c r="A28" s="7"/>
      <c r="B28" s="9"/>
      <c r="C28" s="9"/>
      <c r="D28" s="9"/>
    </row>
    <row r="29" spans="1:4" ht="11.25" customHeight="1" x14ac:dyDescent="0.2">
      <c r="A29" s="7"/>
      <c r="B29" s="9"/>
      <c r="C29" s="9"/>
      <c r="D29" s="9"/>
    </row>
    <row r="30" spans="1:4" ht="11.25" customHeight="1" x14ac:dyDescent="0.2">
      <c r="A30" s="7"/>
      <c r="B30" s="9"/>
      <c r="C30" s="9"/>
      <c r="D30" s="9"/>
    </row>
    <row r="31" spans="1:4" ht="11.25" customHeight="1" x14ac:dyDescent="0.2">
      <c r="A31" s="7"/>
      <c r="B31" s="9"/>
      <c r="C31" s="9"/>
      <c r="D31" s="9"/>
    </row>
    <row r="32" spans="1:4" ht="11.25" customHeight="1" x14ac:dyDescent="0.2">
      <c r="A32" s="7"/>
      <c r="B32" s="9"/>
      <c r="C32" s="9"/>
      <c r="D32" s="9"/>
    </row>
    <row r="33" spans="1:4" ht="11.25" customHeight="1" x14ac:dyDescent="0.2">
      <c r="A33" s="7"/>
      <c r="B33" s="9"/>
      <c r="C33" s="9"/>
      <c r="D33" s="9"/>
    </row>
    <row r="34" spans="1:4" x14ac:dyDescent="0.2">
      <c r="A34" s="7"/>
      <c r="B34" s="17"/>
      <c r="C34" s="17"/>
      <c r="D34" s="17"/>
    </row>
    <row r="35" spans="1:4" x14ac:dyDescent="0.2">
      <c r="A35" s="7"/>
      <c r="B35" s="17"/>
      <c r="C35" s="17"/>
      <c r="D35" s="17"/>
    </row>
    <row r="36" spans="1:4" x14ac:dyDescent="0.2">
      <c r="A36" s="7"/>
      <c r="B36" s="17"/>
      <c r="C36" s="17"/>
      <c r="D36" s="17"/>
    </row>
    <row r="37" spans="1:4" x14ac:dyDescent="0.2">
      <c r="A37" s="7"/>
      <c r="B37" s="17"/>
      <c r="C37" s="17"/>
      <c r="D37" s="17"/>
    </row>
    <row r="38" spans="1:4" x14ac:dyDescent="0.2">
      <c r="A38" s="7"/>
      <c r="B38" s="17"/>
      <c r="C38" s="17"/>
      <c r="D38" s="17"/>
    </row>
    <row r="39" spans="1:4" x14ac:dyDescent="0.2">
      <c r="A39" s="7"/>
      <c r="B39" s="17"/>
      <c r="C39" s="17"/>
      <c r="D39" s="17"/>
    </row>
    <row r="40" spans="1:4" x14ac:dyDescent="0.2">
      <c r="A40" s="7"/>
      <c r="B40" s="17"/>
      <c r="C40" s="17"/>
      <c r="D40" s="17"/>
    </row>
    <row r="41" spans="1:4" x14ac:dyDescent="0.2">
      <c r="A41" s="7"/>
      <c r="B41" s="17"/>
      <c r="C41" s="17"/>
      <c r="D41" s="17"/>
    </row>
    <row r="42" spans="1:4" x14ac:dyDescent="0.2">
      <c r="A42" s="7"/>
      <c r="B42" s="17"/>
      <c r="C42" s="17"/>
      <c r="D42" s="17"/>
    </row>
    <row r="43" spans="1:4" x14ac:dyDescent="0.2">
      <c r="A43" s="7"/>
      <c r="B43" s="17"/>
      <c r="C43" s="17"/>
      <c r="D43" s="17"/>
    </row>
    <row r="44" spans="1:4" x14ac:dyDescent="0.2">
      <c r="B44" s="17"/>
      <c r="C44" s="17"/>
      <c r="D44" s="17"/>
    </row>
    <row r="45" spans="1:4" x14ac:dyDescent="0.2">
      <c r="B45" s="17"/>
      <c r="C45" s="17"/>
      <c r="D45" s="17"/>
    </row>
    <row r="46" spans="1:4" x14ac:dyDescent="0.2">
      <c r="B46" s="17"/>
      <c r="C46" s="17"/>
      <c r="D46" s="17"/>
    </row>
    <row r="47" spans="1:4" x14ac:dyDescent="0.2">
      <c r="B47" s="17"/>
      <c r="C47" s="17"/>
      <c r="D47" s="17"/>
    </row>
    <row r="48" spans="1:4" x14ac:dyDescent="0.2">
      <c r="B48" s="17"/>
      <c r="C48" s="17"/>
      <c r="D48" s="17"/>
    </row>
    <row r="49" spans="2:4" x14ac:dyDescent="0.2">
      <c r="B49" s="17"/>
      <c r="C49" s="17"/>
      <c r="D49" s="17"/>
    </row>
    <row r="50" spans="2:4" x14ac:dyDescent="0.2">
      <c r="B50" s="17"/>
      <c r="C50" s="17"/>
      <c r="D50" s="17"/>
    </row>
    <row r="51" spans="2:4" x14ac:dyDescent="0.2">
      <c r="B51" s="17"/>
      <c r="C51" s="17"/>
      <c r="D51" s="17"/>
    </row>
    <row r="52" spans="2:4" x14ac:dyDescent="0.2">
      <c r="B52" s="17"/>
      <c r="C52" s="17"/>
      <c r="D52" s="17"/>
    </row>
    <row r="53" spans="2:4" x14ac:dyDescent="0.2">
      <c r="B53" s="17"/>
      <c r="C53" s="17"/>
      <c r="D53" s="17"/>
    </row>
  </sheetData>
  <mergeCells count="8">
    <mergeCell ref="A11:D11"/>
    <mergeCell ref="A1:D1"/>
    <mergeCell ref="A2:D2"/>
    <mergeCell ref="A3:D3"/>
    <mergeCell ref="A4:D4"/>
    <mergeCell ref="A5:D5"/>
    <mergeCell ref="A6:D8"/>
    <mergeCell ref="A9:D9"/>
  </mergeCells>
  <pageMargins left="0.75" right="0.4" top="0.75" bottom="0.75" header="0.5" footer="0.5"/>
  <pageSetup scale="90" firstPageNumber="0"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43"/>
  <sheetViews>
    <sheetView workbookViewId="0">
      <selection activeCell="H34" sqref="H34"/>
    </sheetView>
  </sheetViews>
  <sheetFormatPr defaultRowHeight="12.75" x14ac:dyDescent="0.2"/>
  <cols>
    <col min="1" max="4" width="25" style="12" customWidth="1"/>
    <col min="5" max="254" width="9.140625" style="1"/>
    <col min="255" max="259" width="18.5703125" style="1" customWidth="1"/>
    <col min="260" max="510" width="9.140625" style="1"/>
    <col min="511" max="515" width="18.5703125" style="1" customWidth="1"/>
    <col min="516" max="766" width="9.140625" style="1"/>
    <col min="767" max="771" width="18.5703125" style="1" customWidth="1"/>
    <col min="772" max="1022" width="9.140625" style="1"/>
    <col min="1023" max="1027" width="18.5703125" style="1" customWidth="1"/>
    <col min="1028" max="1278" width="9.140625" style="1"/>
    <col min="1279" max="1283" width="18.5703125" style="1" customWidth="1"/>
    <col min="1284" max="1534" width="9.140625" style="1"/>
    <col min="1535" max="1539" width="18.5703125" style="1" customWidth="1"/>
    <col min="1540" max="1790" width="9.140625" style="1"/>
    <col min="1791" max="1795" width="18.5703125" style="1" customWidth="1"/>
    <col min="1796" max="2046" width="9.140625" style="1"/>
    <col min="2047" max="2051" width="18.5703125" style="1" customWidth="1"/>
    <col min="2052" max="2302" width="9.140625" style="1"/>
    <col min="2303" max="2307" width="18.5703125" style="1" customWidth="1"/>
    <col min="2308" max="2558" width="9.140625" style="1"/>
    <col min="2559" max="2563" width="18.5703125" style="1" customWidth="1"/>
    <col min="2564" max="2814" width="9.140625" style="1"/>
    <col min="2815" max="2819" width="18.5703125" style="1" customWidth="1"/>
    <col min="2820" max="3070" width="9.140625" style="1"/>
    <col min="3071" max="3075" width="18.5703125" style="1" customWidth="1"/>
    <col min="3076" max="3326" width="9.140625" style="1"/>
    <col min="3327" max="3331" width="18.5703125" style="1" customWidth="1"/>
    <col min="3332" max="3582" width="9.140625" style="1"/>
    <col min="3583" max="3587" width="18.5703125" style="1" customWidth="1"/>
    <col min="3588" max="3838" width="9.140625" style="1"/>
    <col min="3839" max="3843" width="18.5703125" style="1" customWidth="1"/>
    <col min="3844" max="4094" width="9.140625" style="1"/>
    <col min="4095" max="4099" width="18.5703125" style="1" customWidth="1"/>
    <col min="4100" max="4350" width="9.140625" style="1"/>
    <col min="4351" max="4355" width="18.5703125" style="1" customWidth="1"/>
    <col min="4356" max="4606" width="9.140625" style="1"/>
    <col min="4607" max="4611" width="18.5703125" style="1" customWidth="1"/>
    <col min="4612" max="4862" width="9.140625" style="1"/>
    <col min="4863" max="4867" width="18.5703125" style="1" customWidth="1"/>
    <col min="4868" max="5118" width="9.140625" style="1"/>
    <col min="5119" max="5123" width="18.5703125" style="1" customWidth="1"/>
    <col min="5124" max="5374" width="9.140625" style="1"/>
    <col min="5375" max="5379" width="18.5703125" style="1" customWidth="1"/>
    <col min="5380" max="5630" width="9.140625" style="1"/>
    <col min="5631" max="5635" width="18.5703125" style="1" customWidth="1"/>
    <col min="5636" max="5886" width="9.140625" style="1"/>
    <col min="5887" max="5891" width="18.5703125" style="1" customWidth="1"/>
    <col min="5892" max="6142" width="9.140625" style="1"/>
    <col min="6143" max="6147" width="18.5703125" style="1" customWidth="1"/>
    <col min="6148" max="6398" width="9.140625" style="1"/>
    <col min="6399" max="6403" width="18.5703125" style="1" customWidth="1"/>
    <col min="6404" max="6654" width="9.140625" style="1"/>
    <col min="6655" max="6659" width="18.5703125" style="1" customWidth="1"/>
    <col min="6660" max="6910" width="9.140625" style="1"/>
    <col min="6911" max="6915" width="18.5703125" style="1" customWidth="1"/>
    <col min="6916" max="7166" width="9.140625" style="1"/>
    <col min="7167" max="7171" width="18.5703125" style="1" customWidth="1"/>
    <col min="7172" max="7422" width="9.140625" style="1"/>
    <col min="7423" max="7427" width="18.5703125" style="1" customWidth="1"/>
    <col min="7428" max="7678" width="9.140625" style="1"/>
    <col min="7679" max="7683" width="18.5703125" style="1" customWidth="1"/>
    <col min="7684" max="7934" width="9.140625" style="1"/>
    <col min="7935" max="7939" width="18.5703125" style="1" customWidth="1"/>
    <col min="7940" max="8190" width="9.140625" style="1"/>
    <col min="8191" max="8195" width="18.5703125" style="1" customWidth="1"/>
    <col min="8196" max="8446" width="9.140625" style="1"/>
    <col min="8447" max="8451" width="18.5703125" style="1" customWidth="1"/>
    <col min="8452" max="8702" width="9.140625" style="1"/>
    <col min="8703" max="8707" width="18.5703125" style="1" customWidth="1"/>
    <col min="8708" max="8958" width="9.140625" style="1"/>
    <col min="8959" max="8963" width="18.5703125" style="1" customWidth="1"/>
    <col min="8964" max="9214" width="9.140625" style="1"/>
    <col min="9215" max="9219" width="18.5703125" style="1" customWidth="1"/>
    <col min="9220" max="9470" width="9.140625" style="1"/>
    <col min="9471" max="9475" width="18.5703125" style="1" customWidth="1"/>
    <col min="9476" max="9726" width="9.140625" style="1"/>
    <col min="9727" max="9731" width="18.5703125" style="1" customWidth="1"/>
    <col min="9732" max="9982" width="9.140625" style="1"/>
    <col min="9983" max="9987" width="18.5703125" style="1" customWidth="1"/>
    <col min="9988" max="10238" width="9.140625" style="1"/>
    <col min="10239" max="10243" width="18.5703125" style="1" customWidth="1"/>
    <col min="10244" max="10494" width="9.140625" style="1"/>
    <col min="10495" max="10499" width="18.5703125" style="1" customWidth="1"/>
    <col min="10500" max="10750" width="9.140625" style="1"/>
    <col min="10751" max="10755" width="18.5703125" style="1" customWidth="1"/>
    <col min="10756" max="11006" width="9.140625" style="1"/>
    <col min="11007" max="11011" width="18.5703125" style="1" customWidth="1"/>
    <col min="11012" max="11262" width="9.140625" style="1"/>
    <col min="11263" max="11267" width="18.5703125" style="1" customWidth="1"/>
    <col min="11268" max="11518" width="9.140625" style="1"/>
    <col min="11519" max="11523" width="18.5703125" style="1" customWidth="1"/>
    <col min="11524" max="11774" width="9.140625" style="1"/>
    <col min="11775" max="11779" width="18.5703125" style="1" customWidth="1"/>
    <col min="11780" max="12030" width="9.140625" style="1"/>
    <col min="12031" max="12035" width="18.5703125" style="1" customWidth="1"/>
    <col min="12036" max="12286" width="9.140625" style="1"/>
    <col min="12287" max="12291" width="18.5703125" style="1" customWidth="1"/>
    <col min="12292" max="12542" width="9.140625" style="1"/>
    <col min="12543" max="12547" width="18.5703125" style="1" customWidth="1"/>
    <col min="12548" max="12798" width="9.140625" style="1"/>
    <col min="12799" max="12803" width="18.5703125" style="1" customWidth="1"/>
    <col min="12804" max="13054" width="9.140625" style="1"/>
    <col min="13055" max="13059" width="18.5703125" style="1" customWidth="1"/>
    <col min="13060" max="13310" width="9.140625" style="1"/>
    <col min="13311" max="13315" width="18.5703125" style="1" customWidth="1"/>
    <col min="13316" max="13566" width="9.140625" style="1"/>
    <col min="13567" max="13571" width="18.5703125" style="1" customWidth="1"/>
    <col min="13572" max="13822" width="9.140625" style="1"/>
    <col min="13823" max="13827" width="18.5703125" style="1" customWidth="1"/>
    <col min="13828" max="14078" width="9.140625" style="1"/>
    <col min="14079" max="14083" width="18.5703125" style="1" customWidth="1"/>
    <col min="14084" max="14334" width="9.140625" style="1"/>
    <col min="14335" max="14339" width="18.5703125" style="1" customWidth="1"/>
    <col min="14340" max="14590" width="9.140625" style="1"/>
    <col min="14591" max="14595" width="18.5703125" style="1" customWidth="1"/>
    <col min="14596" max="14846" width="9.140625" style="1"/>
    <col min="14847" max="14851" width="18.5703125" style="1" customWidth="1"/>
    <col min="14852" max="15102" width="9.140625" style="1"/>
    <col min="15103" max="15107" width="18.5703125" style="1" customWidth="1"/>
    <col min="15108" max="15358" width="9.140625" style="1"/>
    <col min="15359" max="15363" width="18.5703125" style="1" customWidth="1"/>
    <col min="15364" max="15614" width="9.140625" style="1"/>
    <col min="15615" max="15619" width="18.5703125" style="1" customWidth="1"/>
    <col min="15620" max="15870" width="9.140625" style="1"/>
    <col min="15871" max="15875" width="18.5703125" style="1" customWidth="1"/>
    <col min="15876" max="16126" width="9.140625" style="1"/>
    <col min="16127" max="16131" width="18.5703125" style="1" customWidth="1"/>
    <col min="16132" max="16384" width="9.140625" style="1"/>
  </cols>
  <sheetData>
    <row r="1" spans="1:8" ht="15" customHeight="1" x14ac:dyDescent="0.25">
      <c r="A1" s="100" t="s">
        <v>0</v>
      </c>
      <c r="B1" s="100"/>
      <c r="C1" s="100"/>
      <c r="D1" s="100"/>
    </row>
    <row r="2" spans="1:8" ht="15" customHeight="1" x14ac:dyDescent="0.25">
      <c r="A2" s="100" t="s">
        <v>154</v>
      </c>
      <c r="B2" s="100"/>
      <c r="C2" s="100"/>
      <c r="D2" s="100"/>
      <c r="E2" s="45"/>
      <c r="F2" s="45"/>
      <c r="G2" s="45"/>
      <c r="H2" s="45"/>
    </row>
    <row r="3" spans="1:8" ht="15" customHeight="1" x14ac:dyDescent="0.25">
      <c r="A3" s="101" t="s">
        <v>1</v>
      </c>
      <c r="B3" s="101"/>
      <c r="C3" s="101"/>
      <c r="D3" s="101"/>
    </row>
    <row r="4" spans="1:8" ht="15" customHeight="1" x14ac:dyDescent="0.25">
      <c r="A4" s="101" t="s">
        <v>91</v>
      </c>
      <c r="B4" s="101"/>
      <c r="C4" s="101"/>
      <c r="D4" s="101"/>
    </row>
    <row r="5" spans="1:8" ht="15" customHeight="1" x14ac:dyDescent="0.25">
      <c r="A5" s="101" t="s">
        <v>42</v>
      </c>
      <c r="B5" s="101"/>
      <c r="C5" s="101"/>
      <c r="D5" s="101"/>
    </row>
    <row r="6" spans="1:8" ht="7.5" customHeight="1" x14ac:dyDescent="0.2">
      <c r="A6" s="102" t="s">
        <v>84</v>
      </c>
      <c r="B6" s="102"/>
      <c r="C6" s="102"/>
      <c r="D6" s="102"/>
    </row>
    <row r="7" spans="1:8" ht="15" customHeight="1" x14ac:dyDescent="0.2">
      <c r="A7" s="102"/>
      <c r="B7" s="102"/>
      <c r="C7" s="102"/>
      <c r="D7" s="102"/>
    </row>
    <row r="8" spans="1:8" ht="22.5" customHeight="1" x14ac:dyDescent="0.2">
      <c r="A8" s="105" t="s">
        <v>85</v>
      </c>
      <c r="B8" s="105"/>
      <c r="C8" s="105"/>
      <c r="D8" s="105"/>
    </row>
    <row r="9" spans="1:8" ht="15" customHeight="1" x14ac:dyDescent="0.2">
      <c r="A9" s="103" t="s">
        <v>121</v>
      </c>
      <c r="B9" s="103"/>
      <c r="C9" s="103"/>
      <c r="D9" s="103"/>
    </row>
    <row r="10" spans="1:8" ht="9" customHeight="1" x14ac:dyDescent="0.25">
      <c r="A10" s="2"/>
      <c r="B10" s="2"/>
      <c r="C10" s="2"/>
      <c r="D10" s="2"/>
    </row>
    <row r="11" spans="1:8" ht="9" customHeight="1" x14ac:dyDescent="0.2">
      <c r="A11" s="99"/>
      <c r="B11" s="99"/>
      <c r="C11" s="99"/>
      <c r="D11" s="99"/>
    </row>
    <row r="12" spans="1:8" x14ac:dyDescent="0.2">
      <c r="A12" s="3" t="s">
        <v>43</v>
      </c>
      <c r="B12" s="20" t="s">
        <v>44</v>
      </c>
      <c r="C12" s="20" t="s">
        <v>45</v>
      </c>
      <c r="D12" s="20" t="s">
        <v>46</v>
      </c>
    </row>
    <row r="13" spans="1:8" ht="5.25" customHeight="1" x14ac:dyDescent="0.2"/>
    <row r="14" spans="1:8" s="5" customFormat="1" ht="12" x14ac:dyDescent="0.2">
      <c r="A14" s="4" t="s">
        <v>10</v>
      </c>
      <c r="B14" s="15">
        <v>800000</v>
      </c>
      <c r="C14" s="15">
        <f>15261.75+7701.75</f>
        <v>22963.5</v>
      </c>
      <c r="D14" s="15">
        <f t="shared" ref="D14:D15" si="0">+B14+C14</f>
        <v>822963.5</v>
      </c>
    </row>
    <row r="15" spans="1:8" s="5" customFormat="1" ht="12" x14ac:dyDescent="0.2">
      <c r="A15" s="4" t="s">
        <v>11</v>
      </c>
      <c r="B15" s="15">
        <v>815000</v>
      </c>
      <c r="C15" s="15">
        <v>7701.75</v>
      </c>
      <c r="D15" s="15">
        <f t="shared" si="0"/>
        <v>822701.75</v>
      </c>
    </row>
    <row r="16" spans="1:8" s="5" customFormat="1" ht="12" x14ac:dyDescent="0.2">
      <c r="A16" s="6" t="s">
        <v>4</v>
      </c>
      <c r="B16" s="16">
        <f>SUM(B13:B15)</f>
        <v>1615000</v>
      </c>
      <c r="C16" s="16">
        <f>SUM(C13:C15)</f>
        <v>30665.25</v>
      </c>
      <c r="D16" s="16">
        <f>SUM(D13:D15)</f>
        <v>1645665.25</v>
      </c>
    </row>
    <row r="17" spans="1:4" x14ac:dyDescent="0.2">
      <c r="A17" s="7"/>
      <c r="C17" s="9"/>
      <c r="D17" s="9"/>
    </row>
    <row r="18" spans="1:4" x14ac:dyDescent="0.2">
      <c r="A18" s="7"/>
      <c r="B18" s="9"/>
      <c r="C18" s="9"/>
      <c r="D18" s="9"/>
    </row>
    <row r="19" spans="1:4" x14ac:dyDescent="0.2">
      <c r="A19" s="7"/>
      <c r="B19" s="9"/>
      <c r="C19" s="9"/>
      <c r="D19" s="9"/>
    </row>
    <row r="20" spans="1:4" x14ac:dyDescent="0.2">
      <c r="A20" s="7"/>
      <c r="B20" s="9"/>
      <c r="C20" s="9"/>
      <c r="D20" s="9"/>
    </row>
    <row r="21" spans="1:4" x14ac:dyDescent="0.2">
      <c r="A21" s="7"/>
      <c r="B21" s="9"/>
      <c r="C21" s="9"/>
      <c r="D21" s="9"/>
    </row>
    <row r="22" spans="1:4" x14ac:dyDescent="0.2">
      <c r="A22" s="7"/>
      <c r="B22" s="9"/>
      <c r="C22" s="9"/>
      <c r="D22" s="9"/>
    </row>
    <row r="23" spans="1:4" x14ac:dyDescent="0.2">
      <c r="A23" s="7"/>
      <c r="B23" s="9"/>
      <c r="C23" s="9"/>
      <c r="D23" s="9"/>
    </row>
    <row r="24" spans="1:4" x14ac:dyDescent="0.2">
      <c r="A24" s="7"/>
      <c r="B24" s="17"/>
      <c r="C24" s="17"/>
      <c r="D24" s="17"/>
    </row>
    <row r="25" spans="1:4" x14ac:dyDescent="0.2">
      <c r="A25" s="7"/>
      <c r="B25" s="17"/>
      <c r="C25" s="17"/>
      <c r="D25" s="17"/>
    </row>
    <row r="26" spans="1:4" x14ac:dyDescent="0.2">
      <c r="A26" s="7"/>
      <c r="B26" s="17"/>
      <c r="C26" s="17"/>
      <c r="D26" s="17"/>
    </row>
    <row r="27" spans="1:4" x14ac:dyDescent="0.2">
      <c r="A27" s="7"/>
      <c r="B27" s="17"/>
      <c r="C27" s="17"/>
      <c r="D27" s="17"/>
    </row>
    <row r="28" spans="1:4" x14ac:dyDescent="0.2">
      <c r="A28" s="7"/>
      <c r="B28" s="17"/>
      <c r="C28" s="17"/>
      <c r="D28" s="17"/>
    </row>
    <row r="29" spans="1:4" x14ac:dyDescent="0.2">
      <c r="A29" s="7"/>
      <c r="B29" s="17"/>
      <c r="C29" s="17"/>
      <c r="D29" s="17"/>
    </row>
    <row r="30" spans="1:4" x14ac:dyDescent="0.2">
      <c r="A30" s="7"/>
      <c r="B30" s="17"/>
      <c r="C30" s="17"/>
      <c r="D30" s="17"/>
    </row>
    <row r="31" spans="1:4" x14ac:dyDescent="0.2">
      <c r="A31" s="7"/>
      <c r="B31" s="17"/>
      <c r="C31" s="17"/>
      <c r="D31" s="17"/>
    </row>
    <row r="32" spans="1:4" x14ac:dyDescent="0.2">
      <c r="A32" s="7"/>
      <c r="B32" s="17"/>
      <c r="C32" s="17"/>
      <c r="D32" s="17"/>
    </row>
    <row r="33" spans="1:4" x14ac:dyDescent="0.2">
      <c r="A33" s="7"/>
      <c r="B33" s="17"/>
      <c r="C33" s="17"/>
      <c r="D33" s="17"/>
    </row>
    <row r="34" spans="1:4" x14ac:dyDescent="0.2">
      <c r="B34" s="17"/>
      <c r="C34" s="17"/>
      <c r="D34" s="17"/>
    </row>
    <row r="35" spans="1:4" x14ac:dyDescent="0.2">
      <c r="B35" s="17"/>
      <c r="C35" s="17"/>
      <c r="D35" s="17"/>
    </row>
    <row r="36" spans="1:4" x14ac:dyDescent="0.2">
      <c r="B36" s="17"/>
      <c r="C36" s="17"/>
      <c r="D36" s="17"/>
    </row>
    <row r="37" spans="1:4" x14ac:dyDescent="0.2">
      <c r="B37" s="17"/>
      <c r="C37" s="17"/>
      <c r="D37" s="17"/>
    </row>
    <row r="38" spans="1:4" x14ac:dyDescent="0.2">
      <c r="B38" s="17"/>
      <c r="C38" s="17"/>
      <c r="D38" s="17"/>
    </row>
    <row r="39" spans="1:4" x14ac:dyDescent="0.2">
      <c r="B39" s="17"/>
      <c r="C39" s="17"/>
      <c r="D39" s="17"/>
    </row>
    <row r="40" spans="1:4" x14ac:dyDescent="0.2">
      <c r="B40" s="17"/>
      <c r="C40" s="17"/>
      <c r="D40" s="17"/>
    </row>
    <row r="41" spans="1:4" x14ac:dyDescent="0.2">
      <c r="B41" s="17"/>
      <c r="C41" s="17"/>
      <c r="D41" s="17"/>
    </row>
    <row r="42" spans="1:4" x14ac:dyDescent="0.2">
      <c r="B42" s="17"/>
      <c r="C42" s="17"/>
      <c r="D42" s="17"/>
    </row>
    <row r="43" spans="1:4" x14ac:dyDescent="0.2">
      <c r="B43" s="17"/>
      <c r="C43" s="17"/>
      <c r="D43" s="17"/>
    </row>
  </sheetData>
  <mergeCells count="9">
    <mergeCell ref="A11:D11"/>
    <mergeCell ref="A1:D1"/>
    <mergeCell ref="A2:D2"/>
    <mergeCell ref="A3:D3"/>
    <mergeCell ref="A4:D4"/>
    <mergeCell ref="A5:D5"/>
    <mergeCell ref="A6:D7"/>
    <mergeCell ref="A8:D8"/>
    <mergeCell ref="A9:D9"/>
  </mergeCells>
  <pageMargins left="0.75" right="0.4" top="0.75" bottom="0.75" header="0.5" footer="0.5"/>
  <pageSetup scale="90" firstPageNumber="0"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54"/>
  <sheetViews>
    <sheetView workbookViewId="0">
      <selection activeCell="H35" sqref="H35"/>
    </sheetView>
  </sheetViews>
  <sheetFormatPr defaultRowHeight="12.75" x14ac:dyDescent="0.2"/>
  <cols>
    <col min="1" max="1" width="25" style="12" customWidth="1"/>
    <col min="2" max="3" width="13.7109375" style="12" hidden="1" customWidth="1"/>
    <col min="4" max="4" width="25" style="12" customWidth="1"/>
    <col min="5" max="6" width="11.28515625" style="12" hidden="1" customWidth="1"/>
    <col min="7" max="8" width="25" style="12" customWidth="1"/>
    <col min="9" max="9" width="9.140625" style="1"/>
    <col min="10" max="10" width="11" style="1" bestFit="1" customWidth="1"/>
    <col min="11" max="258" width="9.140625" style="1"/>
    <col min="259" max="263" width="18.5703125" style="1" customWidth="1"/>
    <col min="264" max="514" width="9.140625" style="1"/>
    <col min="515" max="519" width="18.5703125" style="1" customWidth="1"/>
    <col min="520" max="770" width="9.140625" style="1"/>
    <col min="771" max="775" width="18.5703125" style="1" customWidth="1"/>
    <col min="776" max="1026" width="9.140625" style="1"/>
    <col min="1027" max="1031" width="18.5703125" style="1" customWidth="1"/>
    <col min="1032" max="1282" width="9.140625" style="1"/>
    <col min="1283" max="1287" width="18.5703125" style="1" customWidth="1"/>
    <col min="1288" max="1538" width="9.140625" style="1"/>
    <col min="1539" max="1543" width="18.5703125" style="1" customWidth="1"/>
    <col min="1544" max="1794" width="9.140625" style="1"/>
    <col min="1795" max="1799" width="18.5703125" style="1" customWidth="1"/>
    <col min="1800" max="2050" width="9.140625" style="1"/>
    <col min="2051" max="2055" width="18.5703125" style="1" customWidth="1"/>
    <col min="2056" max="2306" width="9.140625" style="1"/>
    <col min="2307" max="2311" width="18.5703125" style="1" customWidth="1"/>
    <col min="2312" max="2562" width="9.140625" style="1"/>
    <col min="2563" max="2567" width="18.5703125" style="1" customWidth="1"/>
    <col min="2568" max="2818" width="9.140625" style="1"/>
    <col min="2819" max="2823" width="18.5703125" style="1" customWidth="1"/>
    <col min="2824" max="3074" width="9.140625" style="1"/>
    <col min="3075" max="3079" width="18.5703125" style="1" customWidth="1"/>
    <col min="3080" max="3330" width="9.140625" style="1"/>
    <col min="3331" max="3335" width="18.5703125" style="1" customWidth="1"/>
    <col min="3336" max="3586" width="9.140625" style="1"/>
    <col min="3587" max="3591" width="18.5703125" style="1" customWidth="1"/>
    <col min="3592" max="3842" width="9.140625" style="1"/>
    <col min="3843" max="3847" width="18.5703125" style="1" customWidth="1"/>
    <col min="3848" max="4098" width="9.140625" style="1"/>
    <col min="4099" max="4103" width="18.5703125" style="1" customWidth="1"/>
    <col min="4104" max="4354" width="9.140625" style="1"/>
    <col min="4355" max="4359" width="18.5703125" style="1" customWidth="1"/>
    <col min="4360" max="4610" width="9.140625" style="1"/>
    <col min="4611" max="4615" width="18.5703125" style="1" customWidth="1"/>
    <col min="4616" max="4866" width="9.140625" style="1"/>
    <col min="4867" max="4871" width="18.5703125" style="1" customWidth="1"/>
    <col min="4872" max="5122" width="9.140625" style="1"/>
    <col min="5123" max="5127" width="18.5703125" style="1" customWidth="1"/>
    <col min="5128" max="5378" width="9.140625" style="1"/>
    <col min="5379" max="5383" width="18.5703125" style="1" customWidth="1"/>
    <col min="5384" max="5634" width="9.140625" style="1"/>
    <col min="5635" max="5639" width="18.5703125" style="1" customWidth="1"/>
    <col min="5640" max="5890" width="9.140625" style="1"/>
    <col min="5891" max="5895" width="18.5703125" style="1" customWidth="1"/>
    <col min="5896" max="6146" width="9.140625" style="1"/>
    <col min="6147" max="6151" width="18.5703125" style="1" customWidth="1"/>
    <col min="6152" max="6402" width="9.140625" style="1"/>
    <col min="6403" max="6407" width="18.5703125" style="1" customWidth="1"/>
    <col min="6408" max="6658" width="9.140625" style="1"/>
    <col min="6659" max="6663" width="18.5703125" style="1" customWidth="1"/>
    <col min="6664" max="6914" width="9.140625" style="1"/>
    <col min="6915" max="6919" width="18.5703125" style="1" customWidth="1"/>
    <col min="6920" max="7170" width="9.140625" style="1"/>
    <col min="7171" max="7175" width="18.5703125" style="1" customWidth="1"/>
    <col min="7176" max="7426" width="9.140625" style="1"/>
    <col min="7427" max="7431" width="18.5703125" style="1" customWidth="1"/>
    <col min="7432" max="7682" width="9.140625" style="1"/>
    <col min="7683" max="7687" width="18.5703125" style="1" customWidth="1"/>
    <col min="7688" max="7938" width="9.140625" style="1"/>
    <col min="7939" max="7943" width="18.5703125" style="1" customWidth="1"/>
    <col min="7944" max="8194" width="9.140625" style="1"/>
    <col min="8195" max="8199" width="18.5703125" style="1" customWidth="1"/>
    <col min="8200" max="8450" width="9.140625" style="1"/>
    <col min="8451" max="8455" width="18.5703125" style="1" customWidth="1"/>
    <col min="8456" max="8706" width="9.140625" style="1"/>
    <col min="8707" max="8711" width="18.5703125" style="1" customWidth="1"/>
    <col min="8712" max="8962" width="9.140625" style="1"/>
    <col min="8963" max="8967" width="18.5703125" style="1" customWidth="1"/>
    <col min="8968" max="9218" width="9.140625" style="1"/>
    <col min="9219" max="9223" width="18.5703125" style="1" customWidth="1"/>
    <col min="9224" max="9474" width="9.140625" style="1"/>
    <col min="9475" max="9479" width="18.5703125" style="1" customWidth="1"/>
    <col min="9480" max="9730" width="9.140625" style="1"/>
    <col min="9731" max="9735" width="18.5703125" style="1" customWidth="1"/>
    <col min="9736" max="9986" width="9.140625" style="1"/>
    <col min="9987" max="9991" width="18.5703125" style="1" customWidth="1"/>
    <col min="9992" max="10242" width="9.140625" style="1"/>
    <col min="10243" max="10247" width="18.5703125" style="1" customWidth="1"/>
    <col min="10248" max="10498" width="9.140625" style="1"/>
    <col min="10499" max="10503" width="18.5703125" style="1" customWidth="1"/>
    <col min="10504" max="10754" width="9.140625" style="1"/>
    <col min="10755" max="10759" width="18.5703125" style="1" customWidth="1"/>
    <col min="10760" max="11010" width="9.140625" style="1"/>
    <col min="11011" max="11015" width="18.5703125" style="1" customWidth="1"/>
    <col min="11016" max="11266" width="9.140625" style="1"/>
    <col min="11267" max="11271" width="18.5703125" style="1" customWidth="1"/>
    <col min="11272" max="11522" width="9.140625" style="1"/>
    <col min="11523" max="11527" width="18.5703125" style="1" customWidth="1"/>
    <col min="11528" max="11778" width="9.140625" style="1"/>
    <col min="11779" max="11783" width="18.5703125" style="1" customWidth="1"/>
    <col min="11784" max="12034" width="9.140625" style="1"/>
    <col min="12035" max="12039" width="18.5703125" style="1" customWidth="1"/>
    <col min="12040" max="12290" width="9.140625" style="1"/>
    <col min="12291" max="12295" width="18.5703125" style="1" customWidth="1"/>
    <col min="12296" max="12546" width="9.140625" style="1"/>
    <col min="12547" max="12551" width="18.5703125" style="1" customWidth="1"/>
    <col min="12552" max="12802" width="9.140625" style="1"/>
    <col min="12803" max="12807" width="18.5703125" style="1" customWidth="1"/>
    <col min="12808" max="13058" width="9.140625" style="1"/>
    <col min="13059" max="13063" width="18.5703125" style="1" customWidth="1"/>
    <col min="13064" max="13314" width="9.140625" style="1"/>
    <col min="13315" max="13319" width="18.5703125" style="1" customWidth="1"/>
    <col min="13320" max="13570" width="9.140625" style="1"/>
    <col min="13571" max="13575" width="18.5703125" style="1" customWidth="1"/>
    <col min="13576" max="13826" width="9.140625" style="1"/>
    <col min="13827" max="13831" width="18.5703125" style="1" customWidth="1"/>
    <col min="13832" max="14082" width="9.140625" style="1"/>
    <col min="14083" max="14087" width="18.5703125" style="1" customWidth="1"/>
    <col min="14088" max="14338" width="9.140625" style="1"/>
    <col min="14339" max="14343" width="18.5703125" style="1" customWidth="1"/>
    <col min="14344" max="14594" width="9.140625" style="1"/>
    <col min="14595" max="14599" width="18.5703125" style="1" customWidth="1"/>
    <col min="14600" max="14850" width="9.140625" style="1"/>
    <col min="14851" max="14855" width="18.5703125" style="1" customWidth="1"/>
    <col min="14856" max="15106" width="9.140625" style="1"/>
    <col min="15107" max="15111" width="18.5703125" style="1" customWidth="1"/>
    <col min="15112" max="15362" width="9.140625" style="1"/>
    <col min="15363" max="15367" width="18.5703125" style="1" customWidth="1"/>
    <col min="15368" max="15618" width="9.140625" style="1"/>
    <col min="15619" max="15623" width="18.5703125" style="1" customWidth="1"/>
    <col min="15624" max="15874" width="9.140625" style="1"/>
    <col min="15875" max="15879" width="18.5703125" style="1" customWidth="1"/>
    <col min="15880" max="16130" width="9.140625" style="1"/>
    <col min="16131" max="16135" width="18.5703125" style="1" customWidth="1"/>
    <col min="16136" max="16384" width="9.140625" style="1"/>
  </cols>
  <sheetData>
    <row r="1" spans="1:10" ht="15" customHeight="1" x14ac:dyDescent="0.25">
      <c r="A1" s="100" t="s">
        <v>0</v>
      </c>
      <c r="B1" s="100"/>
      <c r="C1" s="100"/>
      <c r="D1" s="100"/>
      <c r="E1" s="100"/>
      <c r="F1" s="100"/>
      <c r="G1" s="100"/>
      <c r="H1" s="100"/>
    </row>
    <row r="2" spans="1:10" ht="15" customHeight="1" x14ac:dyDescent="0.25">
      <c r="A2" s="100" t="s">
        <v>154</v>
      </c>
      <c r="B2" s="100"/>
      <c r="C2" s="100"/>
      <c r="D2" s="100"/>
      <c r="E2" s="100"/>
      <c r="F2" s="100"/>
      <c r="G2" s="100"/>
      <c r="H2" s="100"/>
    </row>
    <row r="3" spans="1:10" ht="15" customHeight="1" x14ac:dyDescent="0.25">
      <c r="A3" s="101" t="s">
        <v>1</v>
      </c>
      <c r="B3" s="101"/>
      <c r="C3" s="101"/>
      <c r="D3" s="101"/>
      <c r="E3" s="101"/>
      <c r="F3" s="101"/>
      <c r="G3" s="101"/>
      <c r="H3" s="101"/>
    </row>
    <row r="4" spans="1:10" ht="15" customHeight="1" x14ac:dyDescent="0.25">
      <c r="A4" s="101" t="s">
        <v>142</v>
      </c>
      <c r="B4" s="101"/>
      <c r="C4" s="101"/>
      <c r="D4" s="101"/>
      <c r="E4" s="101"/>
      <c r="F4" s="101"/>
      <c r="G4" s="101"/>
      <c r="H4" s="101"/>
    </row>
    <row r="5" spans="1:10" ht="15" customHeight="1" x14ac:dyDescent="0.25">
      <c r="A5" s="101" t="s">
        <v>47</v>
      </c>
      <c r="B5" s="101"/>
      <c r="C5" s="101"/>
      <c r="D5" s="101"/>
      <c r="E5" s="101"/>
      <c r="F5" s="101"/>
      <c r="G5" s="101"/>
      <c r="H5" s="101"/>
    </row>
    <row r="6" spans="1:10" ht="8.25" customHeight="1" x14ac:dyDescent="0.2">
      <c r="A6" s="104" t="s">
        <v>48</v>
      </c>
      <c r="B6" s="104"/>
      <c r="C6" s="104"/>
      <c r="D6" s="104"/>
      <c r="E6" s="104"/>
      <c r="F6" s="104"/>
      <c r="G6" s="104"/>
      <c r="H6" s="104"/>
    </row>
    <row r="7" spans="1:10" ht="15" customHeight="1" x14ac:dyDescent="0.2">
      <c r="A7" s="104"/>
      <c r="B7" s="104"/>
      <c r="C7" s="104"/>
      <c r="D7" s="104"/>
      <c r="E7" s="104"/>
      <c r="F7" s="104"/>
      <c r="G7" s="104"/>
      <c r="H7" s="104"/>
    </row>
    <row r="8" spans="1:10" ht="23.25" customHeight="1" x14ac:dyDescent="0.2">
      <c r="A8" s="104"/>
      <c r="B8" s="104"/>
      <c r="C8" s="104"/>
      <c r="D8" s="104"/>
      <c r="E8" s="104"/>
      <c r="F8" s="104"/>
      <c r="G8" s="104"/>
      <c r="H8" s="104"/>
    </row>
    <row r="9" spans="1:10" ht="14.25" customHeight="1" x14ac:dyDescent="0.2">
      <c r="A9" s="103" t="s">
        <v>124</v>
      </c>
      <c r="B9" s="103"/>
      <c r="C9" s="103"/>
      <c r="D9" s="103"/>
      <c r="E9" s="103"/>
      <c r="F9" s="103"/>
      <c r="G9" s="103"/>
      <c r="H9" s="103"/>
    </row>
    <row r="10" spans="1:10" ht="9" customHeight="1" x14ac:dyDescent="0.2">
      <c r="A10" s="22"/>
      <c r="B10" s="22"/>
      <c r="C10" s="22"/>
      <c r="D10" s="22"/>
      <c r="E10" s="22"/>
      <c r="F10" s="22"/>
      <c r="G10" s="22"/>
      <c r="H10" s="22"/>
    </row>
    <row r="11" spans="1:10" ht="9" customHeight="1" x14ac:dyDescent="0.2">
      <c r="A11" s="99"/>
      <c r="B11" s="99"/>
      <c r="C11" s="99"/>
      <c r="D11" s="99"/>
      <c r="E11" s="99"/>
      <c r="F11" s="99"/>
      <c r="G11" s="99"/>
      <c r="H11" s="99"/>
    </row>
    <row r="12" spans="1:10" x14ac:dyDescent="0.2">
      <c r="A12" s="3" t="s">
        <v>43</v>
      </c>
      <c r="B12" s="34" t="s">
        <v>128</v>
      </c>
      <c r="C12" s="34" t="s">
        <v>127</v>
      </c>
      <c r="D12" s="20" t="s">
        <v>44</v>
      </c>
      <c r="E12" s="34" t="s">
        <v>129</v>
      </c>
      <c r="F12" s="34" t="s">
        <v>130</v>
      </c>
      <c r="G12" s="20" t="s">
        <v>45</v>
      </c>
      <c r="H12" s="20" t="s">
        <v>46</v>
      </c>
    </row>
    <row r="13" spans="1:10" ht="8.25" customHeight="1" x14ac:dyDescent="0.2">
      <c r="B13" s="35"/>
      <c r="C13" s="35"/>
      <c r="E13" s="35"/>
      <c r="F13" s="35"/>
    </row>
    <row r="14" spans="1:10" s="5" customFormat="1" ht="12" customHeight="1" x14ac:dyDescent="0.2">
      <c r="A14" s="4" t="s">
        <v>6</v>
      </c>
      <c r="B14" s="36">
        <v>135000</v>
      </c>
      <c r="C14" s="36">
        <v>180000</v>
      </c>
      <c r="D14" s="15">
        <v>315000</v>
      </c>
      <c r="E14" s="36">
        <v>61575</v>
      </c>
      <c r="F14" s="36">
        <v>82200</v>
      </c>
      <c r="G14" s="15">
        <f>74250+69525</f>
        <v>143775</v>
      </c>
      <c r="H14" s="15">
        <f t="shared" ref="H14:H26" si="0">+D14+G14</f>
        <v>458775</v>
      </c>
      <c r="J14" s="47"/>
    </row>
    <row r="15" spans="1:10" s="5" customFormat="1" ht="12" customHeight="1" x14ac:dyDescent="0.2">
      <c r="A15" s="4" t="s">
        <v>7</v>
      </c>
      <c r="B15" s="36">
        <v>140000</v>
      </c>
      <c r="C15" s="36">
        <v>185000</v>
      </c>
      <c r="D15" s="15">
        <v>325000</v>
      </c>
      <c r="E15" s="36">
        <v>57450</v>
      </c>
      <c r="F15" s="36">
        <v>76725</v>
      </c>
      <c r="G15" s="15">
        <f>69525+64650</f>
        <v>134175</v>
      </c>
      <c r="H15" s="15">
        <f t="shared" si="0"/>
        <v>459175</v>
      </c>
      <c r="J15" s="47"/>
    </row>
    <row r="16" spans="1:10" s="5" customFormat="1" ht="12" customHeight="1" x14ac:dyDescent="0.2">
      <c r="A16" s="4" t="s">
        <v>8</v>
      </c>
      <c r="B16" s="36">
        <v>145000</v>
      </c>
      <c r="C16" s="36">
        <v>190000</v>
      </c>
      <c r="D16" s="15">
        <v>335000</v>
      </c>
      <c r="E16" s="36">
        <v>53175</v>
      </c>
      <c r="F16" s="36">
        <v>71100</v>
      </c>
      <c r="G16" s="15">
        <f>64650+59625</f>
        <v>124275</v>
      </c>
      <c r="H16" s="15">
        <f t="shared" si="0"/>
        <v>459275</v>
      </c>
      <c r="J16" s="47"/>
    </row>
    <row r="17" spans="1:10" s="5" customFormat="1" ht="12" customHeight="1" x14ac:dyDescent="0.2">
      <c r="A17" s="4" t="s">
        <v>9</v>
      </c>
      <c r="B17" s="36">
        <v>150000</v>
      </c>
      <c r="C17" s="36">
        <v>200000</v>
      </c>
      <c r="D17" s="15">
        <v>350000</v>
      </c>
      <c r="E17" s="36">
        <v>48750</v>
      </c>
      <c r="F17" s="36">
        <v>65250</v>
      </c>
      <c r="G17" s="15">
        <f>59625+54375</f>
        <v>114000</v>
      </c>
      <c r="H17" s="15">
        <f t="shared" si="0"/>
        <v>464000</v>
      </c>
      <c r="J17" s="47"/>
    </row>
    <row r="18" spans="1:10" s="5" customFormat="1" ht="12" customHeight="1" x14ac:dyDescent="0.2">
      <c r="A18" s="4" t="s">
        <v>12</v>
      </c>
      <c r="B18" s="36">
        <v>155000</v>
      </c>
      <c r="C18" s="36">
        <v>205000</v>
      </c>
      <c r="D18" s="15">
        <v>360000</v>
      </c>
      <c r="E18" s="36">
        <v>44175</v>
      </c>
      <c r="F18" s="36">
        <v>59175</v>
      </c>
      <c r="G18" s="15">
        <f>54375+48975</f>
        <v>103350</v>
      </c>
      <c r="H18" s="15">
        <f t="shared" si="0"/>
        <v>463350</v>
      </c>
      <c r="J18" s="47"/>
    </row>
    <row r="19" spans="1:10" s="5" customFormat="1" ht="12" customHeight="1" x14ac:dyDescent="0.2">
      <c r="A19" s="4" t="s">
        <v>18</v>
      </c>
      <c r="B19" s="36">
        <v>155000</v>
      </c>
      <c r="C19" s="36">
        <v>210000</v>
      </c>
      <c r="D19" s="15">
        <v>365000</v>
      </c>
      <c r="E19" s="36">
        <v>39525</v>
      </c>
      <c r="F19" s="36">
        <v>52950</v>
      </c>
      <c r="G19" s="15">
        <f>48975+43500</f>
        <v>92475</v>
      </c>
      <c r="H19" s="15">
        <f t="shared" si="0"/>
        <v>457475</v>
      </c>
      <c r="J19" s="47"/>
    </row>
    <row r="20" spans="1:10" s="5" customFormat="1" ht="12" customHeight="1" x14ac:dyDescent="0.2">
      <c r="A20" s="4" t="s">
        <v>19</v>
      </c>
      <c r="B20" s="36">
        <v>160000</v>
      </c>
      <c r="C20" s="36">
        <v>215000</v>
      </c>
      <c r="D20" s="15">
        <v>375000</v>
      </c>
      <c r="E20" s="36">
        <v>34800</v>
      </c>
      <c r="F20" s="36">
        <v>46575</v>
      </c>
      <c r="G20" s="15">
        <f>43500+37875</f>
        <v>81375</v>
      </c>
      <c r="H20" s="15">
        <f t="shared" si="0"/>
        <v>456375</v>
      </c>
      <c r="J20" s="47"/>
    </row>
    <row r="21" spans="1:10" s="5" customFormat="1" ht="12" customHeight="1" x14ac:dyDescent="0.2">
      <c r="A21" s="4" t="s">
        <v>20</v>
      </c>
      <c r="B21" s="36">
        <v>165000</v>
      </c>
      <c r="C21" s="36">
        <v>225000</v>
      </c>
      <c r="D21" s="15">
        <v>390000</v>
      </c>
      <c r="E21" s="36">
        <v>29925</v>
      </c>
      <c r="F21" s="36">
        <v>39975</v>
      </c>
      <c r="G21" s="15">
        <f>37875+32025</f>
        <v>69900</v>
      </c>
      <c r="H21" s="15">
        <f t="shared" si="0"/>
        <v>459900</v>
      </c>
      <c r="J21" s="47"/>
    </row>
    <row r="22" spans="1:10" s="5" customFormat="1" ht="12" customHeight="1" x14ac:dyDescent="0.2">
      <c r="A22" s="4" t="s">
        <v>21</v>
      </c>
      <c r="B22" s="36">
        <v>170000</v>
      </c>
      <c r="C22" s="36">
        <v>230000</v>
      </c>
      <c r="D22" s="15">
        <v>400000</v>
      </c>
      <c r="E22" s="36">
        <v>24900</v>
      </c>
      <c r="F22" s="36">
        <v>33150</v>
      </c>
      <c r="G22" s="15">
        <f>32025+26025</f>
        <v>58050</v>
      </c>
      <c r="H22" s="15">
        <f t="shared" si="0"/>
        <v>458050</v>
      </c>
      <c r="J22" s="47"/>
    </row>
    <row r="23" spans="1:10" s="5" customFormat="1" ht="12" customHeight="1" x14ac:dyDescent="0.2">
      <c r="A23" s="4" t="s">
        <v>24</v>
      </c>
      <c r="B23" s="36">
        <v>175000</v>
      </c>
      <c r="C23" s="36">
        <v>235000</v>
      </c>
      <c r="D23" s="15">
        <v>410000</v>
      </c>
      <c r="E23" s="36">
        <v>19725</v>
      </c>
      <c r="F23" s="36">
        <v>26175</v>
      </c>
      <c r="G23" s="15">
        <f>26025+19875</f>
        <v>45900</v>
      </c>
      <c r="H23" s="15">
        <f t="shared" si="0"/>
        <v>455900</v>
      </c>
      <c r="J23" s="47"/>
    </row>
    <row r="24" spans="1:10" s="5" customFormat="1" ht="12" customHeight="1" x14ac:dyDescent="0.2">
      <c r="A24" s="4" t="s">
        <v>25</v>
      </c>
      <c r="B24" s="36">
        <v>185000</v>
      </c>
      <c r="C24" s="36">
        <v>245000</v>
      </c>
      <c r="D24" s="15">
        <v>430000</v>
      </c>
      <c r="E24" s="36">
        <v>14325</v>
      </c>
      <c r="F24" s="36">
        <v>18975</v>
      </c>
      <c r="G24" s="15">
        <f>19875+13425</f>
        <v>33300</v>
      </c>
      <c r="H24" s="15">
        <f t="shared" si="0"/>
        <v>463300</v>
      </c>
      <c r="J24" s="47"/>
    </row>
    <row r="25" spans="1:10" s="5" customFormat="1" ht="12" customHeight="1" x14ac:dyDescent="0.2">
      <c r="A25" s="4" t="s">
        <v>41</v>
      </c>
      <c r="B25" s="36">
        <v>190000</v>
      </c>
      <c r="C25" s="36">
        <v>250000</v>
      </c>
      <c r="D25" s="15">
        <v>440000</v>
      </c>
      <c r="E25" s="36">
        <v>8700</v>
      </c>
      <c r="F25" s="36">
        <v>11550</v>
      </c>
      <c r="G25" s="15">
        <f>13425+6825</f>
        <v>20250</v>
      </c>
      <c r="H25" s="15">
        <f t="shared" si="0"/>
        <v>460250</v>
      </c>
      <c r="J25" s="47"/>
    </row>
    <row r="26" spans="1:10" s="5" customFormat="1" ht="12" customHeight="1" x14ac:dyDescent="0.2">
      <c r="A26" s="4" t="s">
        <v>49</v>
      </c>
      <c r="B26" s="36">
        <v>195000</v>
      </c>
      <c r="C26" s="36">
        <v>260000</v>
      </c>
      <c r="D26" s="15">
        <v>455000</v>
      </c>
      <c r="E26" s="36">
        <v>2925</v>
      </c>
      <c r="F26" s="36">
        <v>3900</v>
      </c>
      <c r="G26" s="15">
        <v>6825</v>
      </c>
      <c r="H26" s="15">
        <f t="shared" si="0"/>
        <v>461825</v>
      </c>
      <c r="J26" s="47"/>
    </row>
    <row r="27" spans="1:10" s="5" customFormat="1" ht="12" customHeight="1" x14ac:dyDescent="0.2">
      <c r="A27" s="6" t="s">
        <v>4</v>
      </c>
      <c r="B27" s="43">
        <f>SUM(B13:B26)</f>
        <v>2120000</v>
      </c>
      <c r="C27" s="43">
        <f>SUM(C13:C26)</f>
        <v>2830000</v>
      </c>
      <c r="D27" s="16">
        <f>SUM(D13:D26)</f>
        <v>4950000</v>
      </c>
      <c r="E27" s="43">
        <f>SUM(E13:E26)</f>
        <v>439950</v>
      </c>
      <c r="F27" s="43">
        <f t="shared" ref="F27" si="1">SUM(F13:F26)</f>
        <v>587700</v>
      </c>
      <c r="G27" s="16">
        <f>SUM(G13:G26)</f>
        <v>1027650</v>
      </c>
      <c r="H27" s="16">
        <f>SUM(H13:H26)</f>
        <v>5977650</v>
      </c>
    </row>
    <row r="28" spans="1:10" ht="11.25" customHeight="1" x14ac:dyDescent="0.2">
      <c r="A28" s="7"/>
      <c r="B28" s="7"/>
      <c r="C28" s="7"/>
      <c r="G28" s="9"/>
      <c r="H28" s="9"/>
    </row>
    <row r="29" spans="1:10" ht="11.25" customHeight="1" x14ac:dyDescent="0.2">
      <c r="A29" s="7"/>
      <c r="B29" s="7"/>
      <c r="C29" s="7"/>
      <c r="D29" s="9"/>
      <c r="E29" s="9"/>
      <c r="F29" s="9"/>
      <c r="G29" s="9"/>
      <c r="H29" s="9"/>
    </row>
    <row r="30" spans="1:10" ht="11.25" customHeight="1" x14ac:dyDescent="0.2">
      <c r="A30" s="7"/>
      <c r="B30" s="7"/>
      <c r="C30" s="7"/>
      <c r="D30" s="9"/>
      <c r="E30" s="9"/>
      <c r="F30" s="9"/>
      <c r="G30" s="9"/>
      <c r="H30" s="9"/>
    </row>
    <row r="31" spans="1:10" ht="11.25" customHeight="1" x14ac:dyDescent="0.2">
      <c r="A31" s="7"/>
      <c r="B31" s="7"/>
      <c r="C31" s="7"/>
      <c r="D31" s="9"/>
      <c r="E31" s="9"/>
      <c r="F31" s="9"/>
      <c r="G31" s="9"/>
      <c r="H31" s="9"/>
    </row>
    <row r="32" spans="1:10" ht="11.25" customHeight="1" x14ac:dyDescent="0.2">
      <c r="A32" s="7"/>
      <c r="B32" s="7"/>
      <c r="C32" s="7"/>
      <c r="D32" s="9"/>
      <c r="E32" s="9"/>
      <c r="F32" s="9"/>
      <c r="G32" s="9"/>
      <c r="H32" s="9"/>
    </row>
    <row r="33" spans="1:8" ht="11.25" customHeight="1" x14ac:dyDescent="0.2">
      <c r="A33" s="7"/>
      <c r="B33" s="7"/>
      <c r="C33" s="7"/>
      <c r="D33" s="9"/>
      <c r="E33" s="9"/>
      <c r="F33" s="9"/>
      <c r="G33" s="9"/>
      <c r="H33" s="9"/>
    </row>
    <row r="34" spans="1:8" ht="11.25" customHeight="1" x14ac:dyDescent="0.2">
      <c r="A34" s="7"/>
      <c r="B34" s="7"/>
      <c r="C34" s="7"/>
      <c r="D34" s="9"/>
      <c r="E34" s="9"/>
      <c r="F34" s="9"/>
      <c r="G34" s="9"/>
      <c r="H34" s="9"/>
    </row>
    <row r="35" spans="1:8" x14ac:dyDescent="0.2">
      <c r="A35" s="7"/>
      <c r="B35" s="7"/>
      <c r="C35" s="7"/>
      <c r="D35" s="17"/>
      <c r="E35" s="17"/>
      <c r="F35" s="17"/>
      <c r="G35" s="17"/>
      <c r="H35" s="17"/>
    </row>
    <row r="36" spans="1:8" x14ac:dyDescent="0.2">
      <c r="A36" s="7"/>
      <c r="B36" s="7"/>
      <c r="C36" s="7"/>
      <c r="D36" s="17"/>
      <c r="E36" s="17"/>
      <c r="F36" s="17"/>
      <c r="G36" s="17"/>
      <c r="H36" s="17"/>
    </row>
    <row r="37" spans="1:8" x14ac:dyDescent="0.2">
      <c r="A37" s="7"/>
      <c r="B37" s="7"/>
      <c r="C37" s="7"/>
      <c r="D37" s="17"/>
      <c r="E37" s="17"/>
      <c r="F37" s="17"/>
      <c r="G37" s="17"/>
      <c r="H37" s="17"/>
    </row>
    <row r="38" spans="1:8" x14ac:dyDescent="0.2">
      <c r="A38" s="7"/>
      <c r="B38" s="7"/>
      <c r="C38" s="7"/>
      <c r="D38" s="17"/>
      <c r="E38" s="17"/>
      <c r="F38" s="17"/>
      <c r="G38" s="17"/>
      <c r="H38" s="17"/>
    </row>
    <row r="39" spans="1:8" x14ac:dyDescent="0.2">
      <c r="A39" s="7"/>
      <c r="B39" s="7"/>
      <c r="C39" s="7"/>
      <c r="D39" s="17"/>
      <c r="E39" s="17"/>
      <c r="F39" s="17"/>
      <c r="G39" s="17"/>
      <c r="H39" s="17"/>
    </row>
    <row r="40" spans="1:8" x14ac:dyDescent="0.2">
      <c r="A40" s="7"/>
      <c r="B40" s="7"/>
      <c r="C40" s="7"/>
      <c r="D40" s="17"/>
      <c r="E40" s="17"/>
      <c r="F40" s="17"/>
      <c r="G40" s="17"/>
      <c r="H40" s="17"/>
    </row>
    <row r="41" spans="1:8" x14ac:dyDescent="0.2">
      <c r="A41" s="7"/>
      <c r="B41" s="7"/>
      <c r="C41" s="7"/>
      <c r="D41" s="17"/>
      <c r="E41" s="17"/>
      <c r="F41" s="17"/>
      <c r="G41" s="17"/>
      <c r="H41" s="17"/>
    </row>
    <row r="42" spans="1:8" x14ac:dyDescent="0.2">
      <c r="A42" s="7"/>
      <c r="B42" s="7"/>
      <c r="C42" s="7"/>
      <c r="D42" s="17"/>
      <c r="E42" s="17"/>
      <c r="F42" s="17"/>
      <c r="G42" s="17"/>
      <c r="H42" s="17"/>
    </row>
    <row r="43" spans="1:8" x14ac:dyDescent="0.2">
      <c r="A43" s="7"/>
      <c r="B43" s="7"/>
      <c r="C43" s="7"/>
      <c r="D43" s="17"/>
      <c r="E43" s="17"/>
      <c r="F43" s="17"/>
      <c r="G43" s="17"/>
      <c r="H43" s="17"/>
    </row>
    <row r="44" spans="1:8" x14ac:dyDescent="0.2">
      <c r="A44" s="7"/>
      <c r="B44" s="7"/>
      <c r="C44" s="7"/>
      <c r="D44" s="17"/>
      <c r="E44" s="17"/>
      <c r="F44" s="17"/>
      <c r="G44" s="17"/>
      <c r="H44" s="17"/>
    </row>
    <row r="45" spans="1:8" x14ac:dyDescent="0.2">
      <c r="D45" s="17"/>
      <c r="E45" s="17"/>
      <c r="F45" s="17"/>
      <c r="G45" s="17"/>
      <c r="H45" s="17"/>
    </row>
    <row r="46" spans="1:8" x14ac:dyDescent="0.2">
      <c r="D46" s="17"/>
      <c r="E46" s="17"/>
      <c r="F46" s="17"/>
      <c r="G46" s="17"/>
      <c r="H46" s="17"/>
    </row>
    <row r="47" spans="1:8" x14ac:dyDescent="0.2">
      <c r="D47" s="17"/>
      <c r="E47" s="17"/>
      <c r="F47" s="17"/>
      <c r="G47" s="17"/>
      <c r="H47" s="17"/>
    </row>
    <row r="48" spans="1:8" x14ac:dyDescent="0.2">
      <c r="D48" s="17"/>
      <c r="E48" s="17"/>
      <c r="F48" s="17"/>
      <c r="G48" s="17"/>
      <c r="H48" s="17"/>
    </row>
    <row r="49" spans="4:8" x14ac:dyDescent="0.2">
      <c r="D49" s="17"/>
      <c r="E49" s="17"/>
      <c r="F49" s="17"/>
      <c r="G49" s="17"/>
      <c r="H49" s="17"/>
    </row>
    <row r="50" spans="4:8" x14ac:dyDescent="0.2">
      <c r="D50" s="17"/>
      <c r="E50" s="17"/>
      <c r="F50" s="17"/>
      <c r="G50" s="17"/>
      <c r="H50" s="17"/>
    </row>
    <row r="51" spans="4:8" x14ac:dyDescent="0.2">
      <c r="D51" s="17"/>
      <c r="E51" s="17"/>
      <c r="F51" s="17"/>
      <c r="G51" s="17"/>
      <c r="H51" s="17"/>
    </row>
    <row r="52" spans="4:8" x14ac:dyDescent="0.2">
      <c r="D52" s="17"/>
      <c r="E52" s="17"/>
      <c r="F52" s="17"/>
      <c r="G52" s="17"/>
      <c r="H52" s="17"/>
    </row>
    <row r="53" spans="4:8" x14ac:dyDescent="0.2">
      <c r="D53" s="17"/>
      <c r="E53" s="17"/>
      <c r="F53" s="17"/>
      <c r="G53" s="17"/>
      <c r="H53" s="17"/>
    </row>
    <row r="54" spans="4:8" x14ac:dyDescent="0.2">
      <c r="D54" s="17"/>
      <c r="E54" s="17"/>
      <c r="F54" s="17"/>
      <c r="G54" s="17"/>
      <c r="H54" s="17"/>
    </row>
  </sheetData>
  <mergeCells count="8">
    <mergeCell ref="A11:H11"/>
    <mergeCell ref="A1:H1"/>
    <mergeCell ref="A2:H2"/>
    <mergeCell ref="A3:H3"/>
    <mergeCell ref="A4:H4"/>
    <mergeCell ref="A5:H5"/>
    <mergeCell ref="A6:H8"/>
    <mergeCell ref="A9:H9"/>
  </mergeCells>
  <pageMargins left="0.75" right="0.4" top="0.75" bottom="0.75" header="0.5" footer="0.5"/>
  <pageSetup scale="90" firstPageNumber="0"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1</vt:i4>
      </vt:variant>
    </vt:vector>
  </HeadingPairs>
  <TitlesOfParts>
    <vt:vector size="28" baseType="lpstr">
      <vt:lpstr>Obligations</vt:lpstr>
      <vt:lpstr>2010(gtua)</vt:lpstr>
      <vt:lpstr>2012</vt:lpstr>
      <vt:lpstr>2013A</vt:lpstr>
      <vt:lpstr>2013B</vt:lpstr>
      <vt:lpstr>2015</vt:lpstr>
      <vt:lpstr>2016A</vt:lpstr>
      <vt:lpstr>2016B</vt:lpstr>
      <vt:lpstr>2017A</vt:lpstr>
      <vt:lpstr>2017B</vt:lpstr>
      <vt:lpstr>2018</vt:lpstr>
      <vt:lpstr>2018A</vt:lpstr>
      <vt:lpstr>2019</vt:lpstr>
      <vt:lpstr>2019ref</vt:lpstr>
      <vt:lpstr>2020ref</vt:lpstr>
      <vt:lpstr>2020A</vt:lpstr>
      <vt:lpstr>2020B</vt:lpstr>
      <vt:lpstr>2021A</vt:lpstr>
      <vt:lpstr>2021B</vt:lpstr>
      <vt:lpstr>2022A</vt:lpstr>
      <vt:lpstr>2022B</vt:lpstr>
      <vt:lpstr>2022C</vt:lpstr>
      <vt:lpstr>2023</vt:lpstr>
      <vt:lpstr>2024</vt:lpstr>
      <vt:lpstr>2024Tax</vt:lpstr>
      <vt:lpstr>Budgeted</vt:lpstr>
      <vt:lpstr>Obligated</vt:lpstr>
      <vt:lpstr>'2013B'!Print_Titles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Alsabbagh, Laurie</dc:creator>
  <cp:lastModifiedBy>Macedo, Orlando</cp:lastModifiedBy>
  <cp:lastPrinted>2024-12-11T20:17:57Z</cp:lastPrinted>
  <dcterms:created xsi:type="dcterms:W3CDTF">2015-11-20T15:57:15Z</dcterms:created>
  <dcterms:modified xsi:type="dcterms:W3CDTF">2025-10-21T15:50:38Z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2024-04-26T14:39:54Z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580631d1-a261-4fd2-bf3a-76cc6c676c62</vt:lpwstr>
  </property>
  <property fmtid="{D5CDD505-2E9C-101B-9397-08002B2CF9AE}" pid="7" name="MSIP_Label_defa4170-0d19-0005-0004-bc88714345d2_ActionId">
    <vt:lpwstr>be88644b-2329-4fb7-af39-90c438092e0a</vt:lpwstr>
  </property>
  <property fmtid="{D5CDD505-2E9C-101B-9397-08002B2CF9AE}" pid="8" name="MSIP_Label_defa4170-0d19-0005-0004-bc88714345d2_ContentBits">
    <vt:lpwstr>0</vt:lpwstr>
  </property>
</Properties>
</file>